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Google Drive\COMISION EMPRESARIAL\Lineas Estrategicas Area Empresa\Información Empresaria\"/>
    </mc:Choice>
  </mc:AlternateContent>
  <xr:revisionPtr revIDLastSave="0" documentId="13_ncr:1_{582029C2-D7E6-47C8-8076-48441437A4F5}" xr6:coauthVersionLast="45" xr6:coauthVersionMax="45" xr10:uidLastSave="{00000000-0000-0000-0000-000000000000}"/>
  <bookViews>
    <workbookView xWindow="-120" yWindow="-120" windowWidth="20730" windowHeight="11160" xr2:uid="{B4A5BE16-1194-44E8-BC06-59093158334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  <c r="K9" i="1"/>
  <c r="L9" i="1" s="1"/>
  <c r="N9" i="1"/>
  <c r="O9" i="1"/>
  <c r="V9" i="1"/>
  <c r="W9" i="1" s="1"/>
  <c r="X9" i="1"/>
  <c r="F10" i="1"/>
  <c r="H10" i="1"/>
  <c r="I10" i="1" s="1"/>
  <c r="V10" i="1"/>
  <c r="W10" i="1" s="1"/>
  <c r="X10" i="1"/>
  <c r="V11" i="1"/>
  <c r="H23" i="1" s="1"/>
  <c r="I23" i="1" s="1"/>
  <c r="F12" i="1"/>
  <c r="V12" i="1"/>
  <c r="W12" i="1"/>
  <c r="X12" i="1"/>
  <c r="V13" i="1"/>
  <c r="W13" i="1" s="1"/>
  <c r="X13" i="1"/>
  <c r="V14" i="1"/>
  <c r="W14" i="1"/>
  <c r="X14" i="1"/>
  <c r="V15" i="1"/>
  <c r="W15" i="1" s="1"/>
  <c r="X15" i="1"/>
  <c r="V16" i="1"/>
  <c r="W16" i="1"/>
  <c r="X16" i="1"/>
  <c r="L17" i="1"/>
  <c r="O17" i="1"/>
  <c r="V17" i="1"/>
  <c r="W17" i="1"/>
  <c r="X17" i="1"/>
  <c r="V18" i="1"/>
  <c r="W18" i="1" s="1"/>
  <c r="V19" i="1"/>
  <c r="X19" i="1" s="1"/>
  <c r="W19" i="1"/>
  <c r="V20" i="1"/>
  <c r="W20" i="1" s="1"/>
  <c r="X20" i="1"/>
  <c r="V21" i="1"/>
  <c r="W21" i="1"/>
  <c r="X21" i="1"/>
  <c r="F22" i="1"/>
  <c r="F27" i="1" s="1"/>
  <c r="F11" i="1" s="1"/>
  <c r="V22" i="1"/>
  <c r="X22" i="1" s="1"/>
  <c r="W22" i="1"/>
  <c r="F23" i="1"/>
  <c r="F24" i="1"/>
  <c r="F25" i="1"/>
  <c r="F26" i="1"/>
  <c r="I41" i="1"/>
  <c r="K41" i="1"/>
  <c r="L41" i="1"/>
  <c r="N41" i="1"/>
  <c r="O41" i="1" s="1"/>
  <c r="V41" i="1"/>
  <c r="W41" i="1" s="1"/>
  <c r="X41" i="1"/>
  <c r="V42" i="1"/>
  <c r="W42" i="1" s="1"/>
  <c r="F43" i="1"/>
  <c r="V43" i="1"/>
  <c r="W43" i="1"/>
  <c r="X43" i="1"/>
  <c r="F44" i="1"/>
  <c r="V44" i="1"/>
  <c r="W44" i="1" s="1"/>
  <c r="X44" i="1"/>
  <c r="V45" i="1"/>
  <c r="W45" i="1" s="1"/>
  <c r="X45" i="1"/>
  <c r="V46" i="1"/>
  <c r="X46" i="1" s="1"/>
  <c r="W46" i="1"/>
  <c r="V47" i="1"/>
  <c r="W47" i="1" s="1"/>
  <c r="V48" i="1"/>
  <c r="X48" i="1" s="1"/>
  <c r="W48" i="1"/>
  <c r="L49" i="1"/>
  <c r="O49" i="1"/>
  <c r="F54" i="1"/>
  <c r="F58" i="1" s="1"/>
  <c r="F42" i="1" s="1"/>
  <c r="F45" i="1" s="1"/>
  <c r="F47" i="1" s="1"/>
  <c r="H54" i="1"/>
  <c r="I54" i="1" s="1"/>
  <c r="F55" i="1"/>
  <c r="F56" i="1"/>
  <c r="F57" i="1"/>
  <c r="F13" i="1" l="1"/>
  <c r="F15" i="1" s="1"/>
  <c r="H47" i="1"/>
  <c r="F49" i="1"/>
  <c r="N49" i="1" s="1"/>
  <c r="K55" i="1"/>
  <c r="L55" i="1" s="1"/>
  <c r="K54" i="1"/>
  <c r="K44" i="1"/>
  <c r="L44" i="1" s="1"/>
  <c r="K56" i="1"/>
  <c r="L56" i="1" s="1"/>
  <c r="K43" i="1"/>
  <c r="L43" i="1" s="1"/>
  <c r="K57" i="1"/>
  <c r="L57" i="1" s="1"/>
  <c r="H55" i="1"/>
  <c r="I55" i="1" s="1"/>
  <c r="H24" i="1"/>
  <c r="I24" i="1" s="1"/>
  <c r="H57" i="1"/>
  <c r="I57" i="1" s="1"/>
  <c r="H25" i="1"/>
  <c r="I25" i="1" s="1"/>
  <c r="H22" i="1"/>
  <c r="H43" i="1"/>
  <c r="I43" i="1" s="1"/>
  <c r="H12" i="1"/>
  <c r="I12" i="1" s="1"/>
  <c r="H56" i="1"/>
  <c r="I56" i="1" s="1"/>
  <c r="N54" i="1"/>
  <c r="X47" i="1"/>
  <c r="N55" i="1" s="1"/>
  <c r="O55" i="1" s="1"/>
  <c r="X42" i="1"/>
  <c r="N56" i="1" s="1"/>
  <c r="O56" i="1" s="1"/>
  <c r="X18" i="1"/>
  <c r="X11" i="1"/>
  <c r="N26" i="1" s="1"/>
  <c r="O26" i="1" s="1"/>
  <c r="H44" i="1"/>
  <c r="I44" i="1" s="1"/>
  <c r="H26" i="1"/>
  <c r="I26" i="1" s="1"/>
  <c r="W11" i="1"/>
  <c r="K22" i="1" s="1"/>
  <c r="L22" i="1" l="1"/>
  <c r="N25" i="1"/>
  <c r="O25" i="1" s="1"/>
  <c r="N43" i="1"/>
  <c r="O43" i="1" s="1"/>
  <c r="K12" i="1"/>
  <c r="L12" i="1" s="1"/>
  <c r="L54" i="1"/>
  <c r="K58" i="1"/>
  <c r="K26" i="1"/>
  <c r="L26" i="1" s="1"/>
  <c r="N44" i="1"/>
  <c r="O44" i="1" s="1"/>
  <c r="N22" i="1"/>
  <c r="K24" i="1"/>
  <c r="L24" i="1" s="1"/>
  <c r="H58" i="1"/>
  <c r="O54" i="1"/>
  <c r="N24" i="1"/>
  <c r="O24" i="1" s="1"/>
  <c r="H27" i="1"/>
  <c r="I22" i="1"/>
  <c r="K10" i="1"/>
  <c r="K23" i="1"/>
  <c r="L23" i="1" s="1"/>
  <c r="N23" i="1"/>
  <c r="O23" i="1" s="1"/>
  <c r="N57" i="1"/>
  <c r="O57" i="1" s="1"/>
  <c r="N12" i="1"/>
  <c r="O12" i="1" s="1"/>
  <c r="K25" i="1"/>
  <c r="L25" i="1" s="1"/>
  <c r="K49" i="1"/>
  <c r="N10" i="1"/>
  <c r="H15" i="1"/>
  <c r="F17" i="1"/>
  <c r="N17" i="1" s="1"/>
  <c r="H11" i="1" l="1"/>
  <c r="I27" i="1"/>
  <c r="L58" i="1"/>
  <c r="K42" i="1"/>
  <c r="N58" i="1"/>
  <c r="K17" i="1"/>
  <c r="H42" i="1"/>
  <c r="I58" i="1"/>
  <c r="O10" i="1"/>
  <c r="L10" i="1"/>
  <c r="N27" i="1"/>
  <c r="O22" i="1"/>
  <c r="K27" i="1"/>
  <c r="H45" i="1" l="1"/>
  <c r="I42" i="1"/>
  <c r="I11" i="1"/>
  <c r="H13" i="1"/>
  <c r="O27" i="1"/>
  <c r="N11" i="1"/>
  <c r="O58" i="1"/>
  <c r="N42" i="1"/>
  <c r="K45" i="1"/>
  <c r="L42" i="1"/>
  <c r="K11" i="1"/>
  <c r="L27" i="1"/>
  <c r="L45" i="1" l="1"/>
  <c r="O42" i="1"/>
  <c r="N45" i="1"/>
  <c r="I45" i="1"/>
  <c r="I46" i="1" s="1"/>
  <c r="H46" i="1"/>
  <c r="O11" i="1"/>
  <c r="N13" i="1"/>
  <c r="L11" i="1"/>
  <c r="K13" i="1"/>
  <c r="I13" i="1"/>
  <c r="I14" i="1" s="1"/>
  <c r="H14" i="1"/>
  <c r="O13" i="1" l="1"/>
  <c r="N15" i="1"/>
  <c r="K46" i="1"/>
  <c r="K47" i="1" s="1"/>
  <c r="N46" i="1"/>
  <c r="N47" i="1" s="1"/>
  <c r="L13" i="1"/>
  <c r="K14" i="1"/>
  <c r="K15" i="1" s="1"/>
  <c r="N14" i="1"/>
  <c r="O45" i="1"/>
  <c r="O47" i="1" l="1"/>
  <c r="N48" i="1"/>
  <c r="L15" i="1"/>
  <c r="K16" i="1"/>
  <c r="O15" i="1"/>
  <c r="N16" i="1"/>
  <c r="L47" i="1"/>
  <c r="K48" i="1"/>
  <c r="L46" i="1" l="1"/>
  <c r="L48" i="1"/>
  <c r="O46" i="1"/>
  <c r="O48" i="1"/>
  <c r="O14" i="1"/>
  <c r="O16" i="1"/>
  <c r="L14" i="1"/>
  <c r="L16" i="1"/>
</calcChain>
</file>

<file path=xl/sharedStrings.xml><?xml version="1.0" encoding="utf-8"?>
<sst xmlns="http://schemas.openxmlformats.org/spreadsheetml/2006/main" count="175" uniqueCount="61">
  <si>
    <t>El formulario considera que el proceso de  valorización se realiza solo al cierra de campaña. (Minimo requerido)</t>
  </si>
  <si>
    <t>Nota: Completar Tabla de Movimientos y Cargar Valores en  Verde</t>
  </si>
  <si>
    <t>Compras Netas</t>
  </si>
  <si>
    <t>Otros Gastos de Compra</t>
  </si>
  <si>
    <t>Comisiones</t>
  </si>
  <si>
    <t>Fletes</t>
  </si>
  <si>
    <t>Compra Bruta</t>
  </si>
  <si>
    <t>U$S/Tn</t>
  </si>
  <si>
    <t>Resultado</t>
  </si>
  <si>
    <t>$/Tn</t>
  </si>
  <si>
    <t>Unidades</t>
  </si>
  <si>
    <t>Junio</t>
  </si>
  <si>
    <t>Dólares (U$S)</t>
  </si>
  <si>
    <t>Pesos Constantes ($)</t>
  </si>
  <si>
    <t>Pesos Corrientes ($)</t>
  </si>
  <si>
    <t>Mayo</t>
  </si>
  <si>
    <t>Abril</t>
  </si>
  <si>
    <t>Marzo</t>
  </si>
  <si>
    <t>Stock Cierre (Ajuste Precio $ Contantes | U$S)</t>
  </si>
  <si>
    <t>Febrero</t>
  </si>
  <si>
    <t>Diciembre</t>
  </si>
  <si>
    <t>Consumo Valorizado</t>
  </si>
  <si>
    <t>Exposicion Inflacion/Devaluacion</t>
  </si>
  <si>
    <t>Enero</t>
  </si>
  <si>
    <t>Octubre</t>
  </si>
  <si>
    <t>Stock Cierre (Ajuste Precio $ Corrientes)</t>
  </si>
  <si>
    <t>Tenencia Productos</t>
  </si>
  <si>
    <t>Noviembre</t>
  </si>
  <si>
    <t>Stock Cierre (Calculado 1)</t>
  </si>
  <si>
    <t>Septiembre</t>
  </si>
  <si>
    <t>Cesiones Netas (Entradas)</t>
  </si>
  <si>
    <t>Agosto</t>
  </si>
  <si>
    <t>Julio</t>
  </si>
  <si>
    <t>Stock al Inicio</t>
  </si>
  <si>
    <t>$/U$S</t>
  </si>
  <si>
    <t>Indice IPIM</t>
  </si>
  <si>
    <t>Mes</t>
  </si>
  <si>
    <t>U$S Totales</t>
  </si>
  <si>
    <t>$ Constantes</t>
  </si>
  <si>
    <t>$ Corrientes</t>
  </si>
  <si>
    <t>Precio</t>
  </si>
  <si>
    <t>Movimiento</t>
  </si>
  <si>
    <t>U$S/Unidad</t>
  </si>
  <si>
    <t>$/Unidad</t>
  </si>
  <si>
    <t>Tabla de Movimientos</t>
  </si>
  <si>
    <t>MAP</t>
  </si>
  <si>
    <t>Insumos</t>
  </si>
  <si>
    <t>AREA EMPRESA - I&amp;D</t>
  </si>
  <si>
    <t>1 de Julio al 30 de junio</t>
  </si>
  <si>
    <t>VALORIZACIÓN DE BIENES DE CAMBIO</t>
  </si>
  <si>
    <t>CALCULO DE RESULTADOS DE LA CAMPAÑA</t>
  </si>
  <si>
    <t>Ventas Netas</t>
  </si>
  <si>
    <t>Otros Gastos de Venta</t>
  </si>
  <si>
    <t>Comisiones - Sellados</t>
  </si>
  <si>
    <t>Acondicionamiento</t>
  </si>
  <si>
    <t>Producción Valorizada</t>
  </si>
  <si>
    <t>Venta Bruta</t>
  </si>
  <si>
    <t>Cesiones Netas (Salidas)</t>
  </si>
  <si>
    <t>Stock al Cierre (Calculado 1)</t>
  </si>
  <si>
    <t>Soja</t>
  </si>
  <si>
    <t>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</si>
</sst>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339966"/>
      <name val="Calibri"/>
      <family val="2"/>
      <scheme val="minor"/>
    </font>
    <font>
      <b/>
      <sz val="10"/>
      <color rgb="FF339966"/>
      <name val="Calibri"/>
      <family val="2"/>
      <scheme val="minor"/>
    </font>
    <font>
      <sz val="9"/>
      <name val="Calibri"/>
      <family val="2"/>
      <scheme val="minor"/>
    </font>
    <font>
      <sz val="9"/>
      <color rgb="FF339966"/>
      <name val="Calibri"/>
      <family val="2"/>
      <scheme val="minor"/>
    </font>
    <font>
      <sz val="10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339966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164" fontId="3" fillId="2" borderId="0" xfId="1" applyNumberFormat="1" applyFont="1" applyFill="1"/>
    <xf numFmtId="164" fontId="2" fillId="2" borderId="0" xfId="0" applyNumberFormat="1" applyFont="1" applyFill="1"/>
    <xf numFmtId="164" fontId="3" fillId="2" borderId="0" xfId="1" applyNumberFormat="1" applyFont="1" applyFill="1" applyAlignment="1">
      <alignment horizontal="center"/>
    </xf>
    <xf numFmtId="0" fontId="4" fillId="2" borderId="0" xfId="0" applyFont="1" applyFill="1"/>
    <xf numFmtId="164" fontId="5" fillId="3" borderId="1" xfId="1" applyNumberFormat="1" applyFont="1" applyFill="1" applyBorder="1"/>
    <xf numFmtId="164" fontId="6" fillId="3" borderId="1" xfId="1" applyNumberFormat="1" applyFont="1" applyFill="1" applyBorder="1"/>
    <xf numFmtId="164" fontId="2" fillId="0" borderId="0" xfId="1" applyNumberFormat="1" applyFont="1"/>
    <xf numFmtId="164" fontId="5" fillId="3" borderId="1" xfId="1" applyNumberFormat="1" applyFont="1" applyFill="1" applyBorder="1" applyAlignment="1">
      <alignment horizontal="center"/>
    </xf>
    <xf numFmtId="0" fontId="6" fillId="3" borderId="1" xfId="0" applyFont="1" applyFill="1" applyBorder="1"/>
    <xf numFmtId="164" fontId="3" fillId="0" borderId="0" xfId="1" applyNumberFormat="1" applyFont="1"/>
    <xf numFmtId="43" fontId="2" fillId="0" borderId="0" xfId="1" applyFont="1"/>
    <xf numFmtId="165" fontId="2" fillId="0" borderId="0" xfId="1" applyNumberFormat="1" applyFont="1"/>
    <xf numFmtId="164" fontId="3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9" fillId="0" borderId="0" xfId="1" applyNumberFormat="1" applyFont="1"/>
    <xf numFmtId="164" fontId="2" fillId="0" borderId="0" xfId="0" applyNumberFormat="1" applyFont="1"/>
    <xf numFmtId="164" fontId="3" fillId="0" borderId="0" xfId="0" applyNumberFormat="1" applyFont="1"/>
    <xf numFmtId="164" fontId="5" fillId="4" borderId="2" xfId="1" applyNumberFormat="1" applyFont="1" applyFill="1" applyBorder="1"/>
    <xf numFmtId="164" fontId="6" fillId="4" borderId="2" xfId="1" applyNumberFormat="1" applyFont="1" applyFill="1" applyBorder="1"/>
    <xf numFmtId="164" fontId="5" fillId="4" borderId="2" xfId="1" applyNumberFormat="1" applyFont="1" applyFill="1" applyBorder="1" applyAlignment="1">
      <alignment horizontal="center"/>
    </xf>
    <xf numFmtId="0" fontId="6" fillId="4" borderId="2" xfId="1" applyNumberFormat="1" applyFont="1" applyFill="1" applyBorder="1"/>
    <xf numFmtId="164" fontId="9" fillId="0" borderId="0" xfId="0" applyNumberFormat="1" applyFont="1"/>
    <xf numFmtId="164" fontId="3" fillId="3" borderId="0" xfId="1" applyNumberFormat="1" applyFont="1" applyFill="1"/>
    <xf numFmtId="0" fontId="3" fillId="3" borderId="0" xfId="0" applyFont="1" applyFill="1"/>
    <xf numFmtId="0" fontId="6" fillId="4" borderId="2" xfId="1" applyNumberFormat="1" applyFont="1" applyFill="1" applyBorder="1" applyAlignment="1">
      <alignment horizontal="left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10" fillId="5" borderId="3" xfId="0" applyFont="1" applyFill="1" applyBorder="1"/>
    <xf numFmtId="43" fontId="2" fillId="4" borderId="4" xfId="1" applyFont="1" applyFill="1" applyBorder="1" applyAlignment="1">
      <alignment horizontal="left" indent="1"/>
    </xf>
    <xf numFmtId="164" fontId="8" fillId="0" borderId="0" xfId="1" applyNumberFormat="1" applyFont="1"/>
    <xf numFmtId="164" fontId="8" fillId="0" borderId="0" xfId="1" applyNumberFormat="1" applyFont="1" applyAlignment="1">
      <alignment horizontal="left"/>
    </xf>
    <xf numFmtId="0" fontId="2" fillId="0" borderId="5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 vertical="top"/>
    </xf>
    <xf numFmtId="0" fontId="2" fillId="0" borderId="5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164" fontId="6" fillId="0" borderId="5" xfId="1" applyNumberFormat="1" applyFont="1" applyBorder="1" applyAlignment="1">
      <alignment vertical="top"/>
    </xf>
    <xf numFmtId="164" fontId="3" fillId="0" borderId="5" xfId="1" applyNumberFormat="1" applyFont="1" applyBorder="1"/>
    <xf numFmtId="164" fontId="6" fillId="0" borderId="5" xfId="1" applyNumberFormat="1" applyFont="1" applyBorder="1" applyAlignment="1">
      <alignment horizontal="left" vertical="top"/>
    </xf>
    <xf numFmtId="0" fontId="11" fillId="0" borderId="0" xfId="0" applyFont="1"/>
    <xf numFmtId="43" fontId="3" fillId="3" borderId="0" xfId="1" applyFont="1" applyFill="1"/>
    <xf numFmtId="43" fontId="3" fillId="0" borderId="0" xfId="1" applyFont="1"/>
    <xf numFmtId="164" fontId="12" fillId="0" borderId="0" xfId="0" applyNumberFormat="1" applyFont="1"/>
    <xf numFmtId="164" fontId="9" fillId="0" borderId="0" xfId="1" applyNumberFormat="1" applyFont="1" applyAlignment="1">
      <alignment horizontal="center"/>
    </xf>
    <xf numFmtId="164" fontId="11" fillId="0" borderId="0" xfId="0" applyNumberFormat="1" applyFont="1"/>
    <xf numFmtId="164" fontId="12" fillId="0" borderId="0" xfId="1" applyNumberFormat="1" applyFont="1" applyAlignment="1">
      <alignment horizontal="center"/>
    </xf>
    <xf numFmtId="43" fontId="2" fillId="4" borderId="4" xfId="1" applyFont="1" applyFill="1" applyBorder="1" applyAlignment="1"/>
    <xf numFmtId="0" fontId="13" fillId="0" borderId="5" xfId="0" applyFont="1" applyBorder="1"/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9966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9966"/>
        <name val="Calibri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115398</xdr:colOff>
      <xdr:row>0</xdr:row>
      <xdr:rowOff>84665</xdr:rowOff>
    </xdr:from>
    <xdr:ext cx="616806" cy="465668"/>
    <xdr:pic>
      <xdr:nvPicPr>
        <xdr:cNvPr id="2" name="Imagen 1">
          <a:extLst>
            <a:ext uri="{FF2B5EF4-FFF2-40B4-BE49-F238E27FC236}">
              <a16:creationId xmlns:a16="http://schemas.microsoft.com/office/drawing/2014/main" id="{A9D8E5D3-D4A6-4DAC-9012-221CF3128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398" y="84665"/>
          <a:ext cx="616806" cy="465668"/>
        </a:xfrm>
        <a:prstGeom prst="rect">
          <a:avLst/>
        </a:prstGeom>
      </xdr:spPr>
    </xdr:pic>
    <xdr:clientData/>
  </xdr:oneCellAnchor>
  <xdr:oneCellAnchor>
    <xdr:from>
      <xdr:col>0</xdr:col>
      <xdr:colOff>115398</xdr:colOff>
      <xdr:row>32</xdr:row>
      <xdr:rowOff>84665</xdr:rowOff>
    </xdr:from>
    <xdr:ext cx="616806" cy="465668"/>
    <xdr:pic>
      <xdr:nvPicPr>
        <xdr:cNvPr id="3" name="Imagen 2">
          <a:extLst>
            <a:ext uri="{FF2B5EF4-FFF2-40B4-BE49-F238E27FC236}">
              <a16:creationId xmlns:a16="http://schemas.microsoft.com/office/drawing/2014/main" id="{FC8F6B2A-285F-4768-8941-038E1EB50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398" y="6180665"/>
          <a:ext cx="616806" cy="465668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29142C-3411-44CA-B338-EB0A92894585}" name="Tabla1" displayName="Tabla1" ref="R8:X22" totalsRowShown="0" headerRowDxfId="27" dataDxfId="25" headerRowBorderDxfId="26">
  <tableColumns count="7">
    <tableColumn id="1" xr3:uid="{00000000-0010-0000-0000-000001000000}" name="Movimiento" dataDxfId="24" dataCellStyle="Millares"/>
    <tableColumn id="9" xr3:uid="{00000000-0010-0000-0000-000009000000}" name="Mes" dataDxfId="23" dataCellStyle="Millares"/>
    <tableColumn id="2" xr3:uid="{00000000-0010-0000-0000-000002000000}" name="Unidades" dataDxfId="22"/>
    <tableColumn id="3" xr3:uid="{00000000-0010-0000-0000-000003000000}" name="Precio" dataDxfId="21"/>
    <tableColumn id="4" xr3:uid="{00000000-0010-0000-0000-000004000000}" name="$ Corrientes" dataDxfId="20" dataCellStyle="Millares">
      <calculatedColumnFormula>+Tabla1[[#This Row],[Unidades]]*Tabla1[[#This Row],[Precio]]</calculatedColumnFormula>
    </tableColumn>
    <tableColumn id="6" xr3:uid="{00000000-0010-0000-0000-000006000000}" name="$ Constantes" dataDxfId="19" dataCellStyle="Millares">
      <calculatedColumnFormula>+Tabla1[[#This Row],[$ Corrientes]]*SUMPRODUCT((Tabla1[[#This Row],[Mes]]=Tabla2[Mes])*(Tabla2[Indice IPIM]))</calculatedColumnFormula>
    </tableColumn>
    <tableColumn id="8" xr3:uid="{00000000-0010-0000-0000-000008000000}" name="U$S Totales" dataDxfId="18" dataCellStyle="Millares">
      <calculatedColumnFormula>+Tabla1[[#This Row],[$ Corrientes]]/SUMPRODUCT((Tabla1[[#This Row],[Mes]]=Tabla2[Mes])*(Tabla2[$/U$S]))</calculatedColumnFormula>
    </tableColumn>
  </tableColumns>
  <tableStyleInfo name="TableStyleLight14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6F1847-1288-4ED5-8321-37685FA3CFC6}" name="Tabla2" displayName="Tabla2" ref="Z8:AB20" totalsRowShown="0" headerRowDxfId="17">
  <tableColumns count="3">
    <tableColumn id="1" xr3:uid="{00000000-0010-0000-0100-000001000000}" name="Mes" dataDxfId="16"/>
    <tableColumn id="2" xr3:uid="{00000000-0010-0000-0100-000002000000}" name="Indice IPIM" dataDxfId="15"/>
    <tableColumn id="3" xr3:uid="{00000000-0010-0000-0100-000003000000}" name="$/U$S" dataDxfId="14" dataCellStyle="Millares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5CB794-F321-4BD1-B2D7-1E549897E344}" name="Tabla14" displayName="Tabla14" ref="R40:X48" totalsRowShown="0" headerRowDxfId="13" dataDxfId="11" headerRowBorderDxfId="12">
  <tableColumns count="7">
    <tableColumn id="1" xr3:uid="{00000000-0010-0000-0200-000001000000}" name="Movimiento" dataDxfId="10"/>
    <tableColumn id="9" xr3:uid="{00000000-0010-0000-0200-000009000000}" name="Mes" dataDxfId="9"/>
    <tableColumn id="2" xr3:uid="{00000000-0010-0000-0200-000002000000}" name="Unidades" dataDxfId="8"/>
    <tableColumn id="3" xr3:uid="{00000000-0010-0000-0200-000003000000}" name="Precio" dataDxfId="7"/>
    <tableColumn id="4" xr3:uid="{00000000-0010-0000-0200-000004000000}" name="$ Corrientes" dataDxfId="6" dataCellStyle="Millares">
      <calculatedColumnFormula>+Tabla14[[#This Row],[Unidades]]*Tabla14[[#This Row],[Precio]]</calculatedColumnFormula>
    </tableColumn>
    <tableColumn id="6" xr3:uid="{00000000-0010-0000-0200-000006000000}" name="$ Constantes" dataDxfId="5" dataCellStyle="Millares">
      <calculatedColumnFormula>+Tabla14[[#This Row],[$ Corrientes]]*SUMPRODUCT((Tabla14[[#This Row],[Mes]]=Tabla25[Mes])*(Tabla25[Indice IPIM]))</calculatedColumnFormula>
    </tableColumn>
    <tableColumn id="8" xr3:uid="{00000000-0010-0000-0200-000008000000}" name="U$S Totales" dataDxfId="4" dataCellStyle="Millares">
      <calculatedColumnFormula>+Tabla14[[#This Row],[$ Corrientes]]/SUMPRODUCT((Tabla14[[#This Row],[Mes]]=Tabla25[Mes])*(Tabla25[$/U$S]))</calculatedColumnFormula>
    </tableColumn>
  </tableColumns>
  <tableStyleInfo name="TableStyleLight14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1D39C8D-6766-4A0B-B45A-777527E0BEBE}" name="Tabla25" displayName="Tabla25" ref="Z40:AB52" totalsRowShown="0" headerRowDxfId="3">
  <tableColumns count="3">
    <tableColumn id="1" xr3:uid="{00000000-0010-0000-0300-000001000000}" name="Mes" dataDxfId="2"/>
    <tableColumn id="2" xr3:uid="{00000000-0010-0000-0300-000002000000}" name="Indice IPIM" dataDxfId="1"/>
    <tableColumn id="3" xr3:uid="{00000000-0010-0000-0300-000003000000}" name="$/U$S" dataDxfId="0" dataCellStyle="Millares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99D40-24B2-4FEA-9E5B-F2B2964AC29A}">
  <dimension ref="A1:AE141"/>
  <sheetViews>
    <sheetView showGridLines="0" tabSelected="1" workbookViewId="0">
      <selection activeCell="A25" sqref="A25"/>
    </sheetView>
  </sheetViews>
  <sheetFormatPr baseColWidth="10" defaultColWidth="11.42578125" defaultRowHeight="0" customHeight="1" zeroHeight="1" x14ac:dyDescent="0.2"/>
  <cols>
    <col min="1" max="1" width="2.42578125" style="1" customWidth="1"/>
    <col min="2" max="2" width="3" style="1" bestFit="1" customWidth="1"/>
    <col min="3" max="5" width="13.5703125" style="1" customWidth="1"/>
    <col min="6" max="6" width="9.140625" style="3" customWidth="1"/>
    <col min="7" max="7" width="2.28515625" style="1" customWidth="1"/>
    <col min="8" max="8" width="13.42578125" style="1" bestFit="1" customWidth="1"/>
    <col min="9" max="9" width="10" style="2" bestFit="1" customWidth="1"/>
    <col min="10" max="10" width="3.28515625" style="1" customWidth="1"/>
    <col min="11" max="11" width="13.42578125" style="1" bestFit="1" customWidth="1"/>
    <col min="12" max="12" width="10" style="2" bestFit="1" customWidth="1"/>
    <col min="13" max="13" width="3.5703125" style="1" customWidth="1"/>
    <col min="14" max="14" width="12.140625" style="1" bestFit="1" customWidth="1"/>
    <col min="15" max="15" width="9.7109375" style="2" customWidth="1"/>
    <col min="16" max="16" width="4.5703125" style="1" customWidth="1"/>
    <col min="17" max="17" width="12.5703125" style="1" customWidth="1"/>
    <col min="18" max="18" width="22" style="1" bestFit="1" customWidth="1"/>
    <col min="19" max="19" width="10.5703125" style="1" bestFit="1" customWidth="1"/>
    <col min="20" max="20" width="8.85546875" style="1" bestFit="1" customWidth="1"/>
    <col min="21" max="21" width="6.5703125" style="1" bestFit="1" customWidth="1"/>
    <col min="22" max="23" width="12" style="1" bestFit="1" customWidth="1"/>
    <col min="24" max="24" width="10.7109375" style="1" bestFit="1" customWidth="1"/>
    <col min="25" max="25" width="11.42578125" style="1"/>
    <col min="26" max="26" width="11" style="1" bestFit="1" customWidth="1"/>
    <col min="27" max="27" width="10.7109375" style="1" bestFit="1" customWidth="1"/>
    <col min="28" max="28" width="6.42578125" style="1" bestFit="1" customWidth="1"/>
    <col min="29" max="16384" width="11.42578125" style="1"/>
  </cols>
  <sheetData>
    <row r="1" spans="3:28" ht="12.75" x14ac:dyDescent="0.2"/>
    <row r="2" spans="3:28" s="42" customFormat="1" ht="12.75" x14ac:dyDescent="0.2">
      <c r="D2" s="49" t="s">
        <v>50</v>
      </c>
      <c r="F2" s="48"/>
      <c r="G2" s="47"/>
      <c r="I2" s="46" t="s">
        <v>49</v>
      </c>
      <c r="K2" s="45"/>
      <c r="L2" s="43"/>
      <c r="M2" s="44" t="s">
        <v>48</v>
      </c>
      <c r="O2" s="43"/>
      <c r="Q2" s="58"/>
    </row>
    <row r="3" spans="3:28" ht="12.75" x14ac:dyDescent="0.2">
      <c r="D3" s="41" t="s">
        <v>47</v>
      </c>
      <c r="F3" s="15"/>
      <c r="G3" s="40"/>
    </row>
    <row r="4" spans="3:28" ht="12.75" customHeight="1" x14ac:dyDescent="0.2"/>
    <row r="5" spans="3:28" ht="12.75" customHeight="1" x14ac:dyDescent="0.2"/>
    <row r="6" spans="3:28" ht="12.75" customHeight="1" x14ac:dyDescent="0.2">
      <c r="C6" s="1" t="s">
        <v>60</v>
      </c>
      <c r="D6" s="57" t="s">
        <v>59</v>
      </c>
      <c r="E6" s="39"/>
    </row>
    <row r="7" spans="3:28" ht="12.75" customHeight="1" x14ac:dyDescent="0.2">
      <c r="H7" s="59" t="s">
        <v>14</v>
      </c>
      <c r="I7" s="59"/>
      <c r="J7" s="24"/>
      <c r="K7" s="59" t="s">
        <v>13</v>
      </c>
      <c r="L7" s="59"/>
      <c r="M7" s="23"/>
      <c r="N7" s="23" t="s">
        <v>12</v>
      </c>
      <c r="O7" s="22"/>
      <c r="R7" s="1" t="s">
        <v>44</v>
      </c>
    </row>
    <row r="8" spans="3:28" ht="12.75" customHeight="1" x14ac:dyDescent="0.2">
      <c r="F8" s="3" t="s">
        <v>10</v>
      </c>
      <c r="H8" s="21" t="s">
        <v>8</v>
      </c>
      <c r="I8" s="18" t="s">
        <v>43</v>
      </c>
      <c r="K8" s="21" t="s">
        <v>8</v>
      </c>
      <c r="L8" s="18" t="s">
        <v>43</v>
      </c>
      <c r="M8" s="20"/>
      <c r="N8" s="19" t="s">
        <v>8</v>
      </c>
      <c r="O8" s="18" t="s">
        <v>42</v>
      </c>
      <c r="R8" s="38" t="s">
        <v>41</v>
      </c>
      <c r="S8" s="38" t="s">
        <v>36</v>
      </c>
      <c r="T8" s="38" t="s">
        <v>10</v>
      </c>
      <c r="U8" s="38" t="s">
        <v>40</v>
      </c>
      <c r="V8" s="38" t="s">
        <v>39</v>
      </c>
      <c r="W8" s="38" t="s">
        <v>38</v>
      </c>
      <c r="X8" s="38" t="s">
        <v>37</v>
      </c>
      <c r="Z8" s="1" t="s">
        <v>36</v>
      </c>
      <c r="AA8" s="1" t="s">
        <v>35</v>
      </c>
      <c r="AB8" s="1" t="s">
        <v>34</v>
      </c>
    </row>
    <row r="9" spans="3:28" ht="12.75" customHeight="1" x14ac:dyDescent="0.2">
      <c r="C9" s="37" t="s">
        <v>33</v>
      </c>
      <c r="D9" s="36"/>
      <c r="E9" s="36"/>
      <c r="F9" s="56">
        <v>1500</v>
      </c>
      <c r="H9" s="55">
        <v>17500000</v>
      </c>
      <c r="I9" s="15">
        <f>IFERROR(H9/F9,0)</f>
        <v>11666.666666666666</v>
      </c>
      <c r="K9" s="12">
        <f>+H9*Tabla2[[#This Row],[Indice IPIM]]</f>
        <v>25900000</v>
      </c>
      <c r="L9" s="15">
        <f>IFERROR(K9/F9,0)</f>
        <v>17266.666666666668</v>
      </c>
      <c r="N9" s="12">
        <f>+H9/Tabla2[[#This Row],[$/U$S]]</f>
        <v>388888.88888888888</v>
      </c>
      <c r="O9" s="15">
        <f>IFERROR(N9/F9,0)</f>
        <v>259.25925925925924</v>
      </c>
      <c r="R9" s="51" t="s">
        <v>56</v>
      </c>
      <c r="S9" s="51" t="s">
        <v>31</v>
      </c>
      <c r="T9" s="34">
        <v>250</v>
      </c>
      <c r="U9" s="34">
        <v>14000</v>
      </c>
      <c r="V9" s="33">
        <f>+Tabla1[[#This Row],[Unidades]]*Tabla1[[#This Row],[Precio]]</f>
        <v>3500000</v>
      </c>
      <c r="W9" s="33">
        <f>+Tabla1[[#This Row],[$ Corrientes]]*SUMPRODUCT((Tabla1[[#This Row],[Mes]]=Tabla2[Mes])*(Tabla2[Indice IPIM]))</f>
        <v>5040000</v>
      </c>
      <c r="X9" s="33">
        <f>+Tabla1[[#This Row],[$ Corrientes]]/SUMPRODUCT((Tabla1[[#This Row],[Mes]]=Tabla2[Mes])*(Tabla2[$/U$S]))</f>
        <v>72916.666666666672</v>
      </c>
      <c r="Z9" s="1" t="s">
        <v>32</v>
      </c>
      <c r="AA9" s="1">
        <v>1.48</v>
      </c>
      <c r="AB9" s="17">
        <v>45</v>
      </c>
    </row>
    <row r="10" spans="3:28" ht="12.75" customHeight="1" x14ac:dyDescent="0.2">
      <c r="C10" s="37" t="s">
        <v>55</v>
      </c>
      <c r="D10" s="36"/>
      <c r="E10" s="36"/>
      <c r="F10" s="54">
        <f>+SUMPRODUCT((C10=Tabla1[Movimiento])*(Tabla1[Unidades]))</f>
        <v>3000</v>
      </c>
      <c r="H10" s="12">
        <f>+SUMPRODUCT((C10=Tabla1[Movimiento])*(Tabla1[$ Corrientes]))</f>
        <v>57000000</v>
      </c>
      <c r="I10" s="15">
        <f>IFERROR(H10/F10,0)</f>
        <v>19000</v>
      </c>
      <c r="J10" s="12"/>
      <c r="K10" s="12">
        <f>+SUMPRODUCT((C10=Tabla1[Movimiento])*(Tabla1[$ Constantes]))</f>
        <v>61560000.000000007</v>
      </c>
      <c r="L10" s="15">
        <f>IFERROR(K10/F10,0)</f>
        <v>20520.000000000004</v>
      </c>
      <c r="M10" s="12"/>
      <c r="N10" s="12">
        <f>+SUMPRODUCT((C10=Tabla1[Movimiento])*(Tabla1[U$S Totales]))</f>
        <v>812351.54394299246</v>
      </c>
      <c r="O10" s="15">
        <f>IFERROR(N10/F10,0)</f>
        <v>270.78384798099751</v>
      </c>
      <c r="R10" s="51" t="s">
        <v>5</v>
      </c>
      <c r="S10" s="51" t="s">
        <v>31</v>
      </c>
      <c r="T10" s="34">
        <v>250</v>
      </c>
      <c r="U10" s="34">
        <v>1500</v>
      </c>
      <c r="V10" s="33">
        <f>+Tabla1[[#This Row],[Unidades]]*Tabla1[[#This Row],[Precio]]</f>
        <v>375000</v>
      </c>
      <c r="W10" s="33">
        <f>+Tabla1[[#This Row],[$ Corrientes]]*SUMPRODUCT((Tabla1[[#This Row],[Mes]]=Tabla2[Mes])*(Tabla2[Indice IPIM]))</f>
        <v>540000</v>
      </c>
      <c r="X10" s="33">
        <f>+Tabla1[[#This Row],[$ Corrientes]]/SUMPRODUCT((Tabla1[[#This Row],[Mes]]=Tabla2[Mes])*(Tabla2[$/U$S]))</f>
        <v>7812.5</v>
      </c>
      <c r="Z10" s="1" t="s">
        <v>31</v>
      </c>
      <c r="AA10" s="1">
        <v>1.44</v>
      </c>
      <c r="AB10" s="17">
        <v>48</v>
      </c>
    </row>
    <row r="11" spans="3:28" ht="12.75" customHeight="1" x14ac:dyDescent="0.2">
      <c r="C11" s="16" t="s">
        <v>51</v>
      </c>
      <c r="F11" s="3">
        <f>+F27</f>
        <v>750</v>
      </c>
      <c r="H11" s="26">
        <f>+H27</f>
        <v>10962500</v>
      </c>
      <c r="I11" s="15">
        <f>IFERROR(H11/F11,0)</f>
        <v>14616.666666666666</v>
      </c>
      <c r="J11" s="26"/>
      <c r="K11" s="26">
        <f>+K27</f>
        <v>13975000</v>
      </c>
      <c r="L11" s="15">
        <f>IFERROR(K11/F11,0)</f>
        <v>18633.333333333332</v>
      </c>
      <c r="M11" s="26"/>
      <c r="N11" s="26">
        <f>+N27</f>
        <v>192520.58513659649</v>
      </c>
      <c r="O11" s="15">
        <f>IFERROR(N11/F11,0)</f>
        <v>256.69411351546199</v>
      </c>
      <c r="R11" s="51" t="s">
        <v>54</v>
      </c>
      <c r="S11" s="51" t="s">
        <v>31</v>
      </c>
      <c r="T11" s="34">
        <v>250</v>
      </c>
      <c r="U11" s="34">
        <v>150</v>
      </c>
      <c r="V11" s="33">
        <f>+Tabla1[[#This Row],[Unidades]]*Tabla1[[#This Row],[Precio]]</f>
        <v>37500</v>
      </c>
      <c r="W11" s="33">
        <f>+Tabla1[[#This Row],[$ Corrientes]]*SUMPRODUCT((Tabla1[[#This Row],[Mes]]=Tabla2[Mes])*(Tabla2[Indice IPIM]))</f>
        <v>54000</v>
      </c>
      <c r="X11" s="33">
        <f>+Tabla1[[#This Row],[$ Corrientes]]/SUMPRODUCT((Tabla1[[#This Row],[Mes]]=Tabla2[Mes])*(Tabla2[$/U$S]))</f>
        <v>781.25</v>
      </c>
      <c r="Z11" s="1" t="s">
        <v>29</v>
      </c>
      <c r="AA11" s="1">
        <v>1.4</v>
      </c>
      <c r="AB11" s="17">
        <v>50</v>
      </c>
    </row>
    <row r="12" spans="3:28" ht="12.75" customHeight="1" x14ac:dyDescent="0.2">
      <c r="C12" s="16" t="s">
        <v>57</v>
      </c>
      <c r="F12" s="3">
        <f>+SUMPRODUCT((C12=Tabla1[Movimiento])*(Tabla1[Unidades]))</f>
        <v>250</v>
      </c>
      <c r="H12" s="12">
        <f>+SUMPRODUCT((C12=Tabla1[Movimiento])*(Tabla1[$ Corrientes]))</f>
        <v>3750000</v>
      </c>
      <c r="I12" s="15">
        <f>IFERROR(H12/F12,0)</f>
        <v>15000</v>
      </c>
      <c r="J12" s="12"/>
      <c r="K12" s="12">
        <f>+SUMPRODUCT((C12=Tabla1[Movimiento])*(Tabla1[$ Constantes]))</f>
        <v>4800000</v>
      </c>
      <c r="L12" s="15">
        <f>IFERROR(K12/F12,0)</f>
        <v>19200</v>
      </c>
      <c r="M12" s="12"/>
      <c r="N12" s="12">
        <f>+SUMPRODUCT((C12=Tabla1[Movimiento])*(Tabla1[U$S Totales]))</f>
        <v>65028.901734104009</v>
      </c>
      <c r="O12" s="15">
        <f>IFERROR(N12/F12,0)</f>
        <v>260.11560693641604</v>
      </c>
      <c r="R12" s="51" t="s">
        <v>53</v>
      </c>
      <c r="S12" s="51" t="s">
        <v>31</v>
      </c>
      <c r="T12" s="34">
        <v>250</v>
      </c>
      <c r="U12" s="34">
        <v>300</v>
      </c>
      <c r="V12" s="33">
        <f>+Tabla1[[#This Row],[Unidades]]*Tabla1[[#This Row],[Precio]]</f>
        <v>75000</v>
      </c>
      <c r="W12" s="33">
        <f>+Tabla1[[#This Row],[$ Corrientes]]*SUMPRODUCT((Tabla1[[#This Row],[Mes]]=Tabla2[Mes])*(Tabla2[Indice IPIM]))</f>
        <v>108000</v>
      </c>
      <c r="X12" s="33">
        <f>+Tabla1[[#This Row],[$ Corrientes]]/SUMPRODUCT((Tabla1[[#This Row],[Mes]]=Tabla2[Mes])*(Tabla2[$/U$S]))</f>
        <v>1562.5</v>
      </c>
      <c r="Z12" s="1" t="s">
        <v>24</v>
      </c>
      <c r="AA12" s="1">
        <v>1.36</v>
      </c>
      <c r="AB12" s="17">
        <v>52.6666666666667</v>
      </c>
    </row>
    <row r="13" spans="3:28" ht="12.75" customHeight="1" x14ac:dyDescent="0.2">
      <c r="C13" s="16" t="s">
        <v>58</v>
      </c>
      <c r="F13" s="3">
        <f>+F9+F10-F11-F12</f>
        <v>3500</v>
      </c>
      <c r="H13" s="26">
        <f>+H9+H10-H11-H12</f>
        <v>59787500</v>
      </c>
      <c r="I13" s="15">
        <f>IFERROR(H13/F13,0)</f>
        <v>17082.142857142859</v>
      </c>
      <c r="K13" s="26">
        <f>+K9+K10-K11-K12</f>
        <v>68685000</v>
      </c>
      <c r="L13" s="15">
        <f>IFERROR(K13/F13,0)</f>
        <v>19624.285714285714</v>
      </c>
      <c r="N13" s="26">
        <f>+N9+N10-N11-N12</f>
        <v>943690.94596118084</v>
      </c>
      <c r="O13" s="15">
        <f>IFERROR(N13/F13,0)</f>
        <v>269.62598456033737</v>
      </c>
      <c r="R13" s="52" t="s">
        <v>56</v>
      </c>
      <c r="S13" s="52" t="s">
        <v>27</v>
      </c>
      <c r="T13" s="2">
        <v>250</v>
      </c>
      <c r="U13" s="2">
        <v>17000</v>
      </c>
      <c r="V13" s="15">
        <f>+Tabla1[[#This Row],[Unidades]]*Tabla1[[#This Row],[Precio]]</f>
        <v>4250000</v>
      </c>
      <c r="W13" s="15">
        <f>+Tabla1[[#This Row],[$ Corrientes]]*SUMPRODUCT((Tabla1[[#This Row],[Mes]]=Tabla2[Mes])*(Tabla2[Indice IPIM]))</f>
        <v>5610000</v>
      </c>
      <c r="X13" s="15">
        <f>+Tabla1[[#This Row],[$ Corrientes]]/SUMPRODUCT((Tabla1[[#This Row],[Mes]]=Tabla2[Mes])*(Tabla2[$/U$S]))</f>
        <v>77039.274924471247</v>
      </c>
      <c r="Z13" s="1" t="s">
        <v>27</v>
      </c>
      <c r="AA13" s="1">
        <v>1.32</v>
      </c>
      <c r="AB13" s="17">
        <v>55.1666666666667</v>
      </c>
    </row>
    <row r="14" spans="3:28" ht="12.75" customHeight="1" x14ac:dyDescent="0.2">
      <c r="C14" s="35" t="s">
        <v>26</v>
      </c>
      <c r="D14" s="29"/>
      <c r="E14" s="29"/>
      <c r="F14" s="30"/>
      <c r="G14" s="12"/>
      <c r="H14" s="29">
        <f>+H15-H13</f>
        <v>3212500</v>
      </c>
      <c r="I14" s="28">
        <f>+I15-I13</f>
        <v>917.8571428571413</v>
      </c>
      <c r="J14" s="12"/>
      <c r="K14" s="29">
        <f>+H14/AA20</f>
        <v>3212500</v>
      </c>
      <c r="L14" s="28">
        <f>+L15-L13</f>
        <v>917.85714285714494</v>
      </c>
      <c r="M14" s="12"/>
      <c r="N14" s="29">
        <f>+H14/AB20</f>
        <v>44208.715596330258</v>
      </c>
      <c r="O14" s="28">
        <f>+O15-O13</f>
        <v>12.631061598951533</v>
      </c>
      <c r="R14" s="52" t="s">
        <v>5</v>
      </c>
      <c r="S14" s="52" t="s">
        <v>27</v>
      </c>
      <c r="T14" s="2">
        <v>250</v>
      </c>
      <c r="U14" s="2">
        <v>1800</v>
      </c>
      <c r="V14" s="15">
        <f>+Tabla1[[#This Row],[Unidades]]*Tabla1[[#This Row],[Precio]]</f>
        <v>450000</v>
      </c>
      <c r="W14" s="15">
        <f>+Tabla1[[#This Row],[$ Corrientes]]*SUMPRODUCT((Tabla1[[#This Row],[Mes]]=Tabla2[Mes])*(Tabla2[Indice IPIM]))</f>
        <v>594000</v>
      </c>
      <c r="X14" s="15">
        <f>+Tabla1[[#This Row],[$ Corrientes]]/SUMPRODUCT((Tabla1[[#This Row],[Mes]]=Tabla2[Mes])*(Tabla2[$/U$S]))</f>
        <v>8157.0996978851917</v>
      </c>
      <c r="Z14" s="1" t="s">
        <v>20</v>
      </c>
      <c r="AA14" s="1">
        <v>1.28</v>
      </c>
      <c r="AB14" s="17">
        <v>57.6666666666667</v>
      </c>
    </row>
    <row r="15" spans="3:28" ht="12.75" customHeight="1" x14ac:dyDescent="0.2">
      <c r="C15" s="16" t="s">
        <v>25</v>
      </c>
      <c r="F15" s="3">
        <f>+F13</f>
        <v>3500</v>
      </c>
      <c r="H15" s="26">
        <f>+I15*F15</f>
        <v>63000000</v>
      </c>
      <c r="I15" s="53">
        <v>18000</v>
      </c>
      <c r="K15" s="26">
        <f>+K13+K14</f>
        <v>71897500</v>
      </c>
      <c r="L15" s="15">
        <f>+K15/F15</f>
        <v>20542.142857142859</v>
      </c>
      <c r="N15" s="26">
        <f>+N13+N14</f>
        <v>987899.66155751108</v>
      </c>
      <c r="O15" s="15">
        <f>+N15/F15</f>
        <v>282.2570461592889</v>
      </c>
      <c r="R15" s="52" t="s">
        <v>54</v>
      </c>
      <c r="S15" s="52" t="s">
        <v>27</v>
      </c>
      <c r="T15" s="2">
        <v>250</v>
      </c>
      <c r="U15" s="2">
        <v>180</v>
      </c>
      <c r="V15" s="15">
        <f>+Tabla1[[#This Row],[Unidades]]*Tabla1[[#This Row],[Precio]]</f>
        <v>45000</v>
      </c>
      <c r="W15" s="15">
        <f>+Tabla1[[#This Row],[$ Corrientes]]*SUMPRODUCT((Tabla1[[#This Row],[Mes]]=Tabla2[Mes])*(Tabla2[Indice IPIM]))</f>
        <v>59400</v>
      </c>
      <c r="X15" s="15">
        <f>+Tabla1[[#This Row],[$ Corrientes]]/SUMPRODUCT((Tabla1[[#This Row],[Mes]]=Tabla2[Mes])*(Tabla2[$/U$S]))</f>
        <v>815.70996978851917</v>
      </c>
      <c r="Z15" s="1" t="s">
        <v>23</v>
      </c>
      <c r="AA15" s="1">
        <v>1.24</v>
      </c>
      <c r="AB15" s="17">
        <v>60.1666666666667</v>
      </c>
    </row>
    <row r="16" spans="3:28" ht="12.75" customHeight="1" x14ac:dyDescent="0.2">
      <c r="C16" s="31" t="s">
        <v>22</v>
      </c>
      <c r="D16" s="29"/>
      <c r="E16" s="29"/>
      <c r="F16" s="30"/>
      <c r="G16" s="12"/>
      <c r="J16" s="12"/>
      <c r="K16" s="29">
        <f>+K17-K15</f>
        <v>-8897500</v>
      </c>
      <c r="L16" s="28">
        <f>+L17-L15</f>
        <v>-2542.1428571428587</v>
      </c>
      <c r="M16" s="12"/>
      <c r="N16" s="29">
        <f>+N17-N15</f>
        <v>-120927.18449329131</v>
      </c>
      <c r="O16" s="28">
        <f>+O17-O15</f>
        <v>-34.550624140940386</v>
      </c>
      <c r="R16" s="52" t="s">
        <v>53</v>
      </c>
      <c r="S16" s="52" t="s">
        <v>27</v>
      </c>
      <c r="T16" s="2">
        <v>250</v>
      </c>
      <c r="U16" s="2">
        <v>360</v>
      </c>
      <c r="V16" s="15">
        <f>+Tabla1[[#This Row],[Unidades]]*Tabla1[[#This Row],[Precio]]</f>
        <v>90000</v>
      </c>
      <c r="W16" s="15">
        <f>+Tabla1[[#This Row],[$ Corrientes]]*SUMPRODUCT((Tabla1[[#This Row],[Mes]]=Tabla2[Mes])*(Tabla2[Indice IPIM]))</f>
        <v>118800</v>
      </c>
      <c r="X16" s="15">
        <f>+Tabla1[[#This Row],[$ Corrientes]]/SUMPRODUCT((Tabla1[[#This Row],[Mes]]=Tabla2[Mes])*(Tabla2[$/U$S]))</f>
        <v>1631.4199395770383</v>
      </c>
      <c r="Z16" s="1" t="s">
        <v>19</v>
      </c>
      <c r="AA16" s="1">
        <v>1.2</v>
      </c>
      <c r="AB16" s="17">
        <v>62.6666666666667</v>
      </c>
    </row>
    <row r="17" spans="1:31" ht="12.75" customHeight="1" x14ac:dyDescent="0.2">
      <c r="C17" s="16" t="s">
        <v>18</v>
      </c>
      <c r="F17" s="3">
        <f>+F15</f>
        <v>3500</v>
      </c>
      <c r="K17" s="26">
        <f>+H15</f>
        <v>63000000</v>
      </c>
      <c r="L17" s="27">
        <f>+I15</f>
        <v>18000</v>
      </c>
      <c r="N17" s="26">
        <f>+F17*O17</f>
        <v>866972.47706421977</v>
      </c>
      <c r="O17" s="25">
        <f>+I15/AB20</f>
        <v>247.70642201834852</v>
      </c>
      <c r="R17" s="51" t="s">
        <v>57</v>
      </c>
      <c r="S17" s="51" t="s">
        <v>20</v>
      </c>
      <c r="T17" s="34">
        <v>250</v>
      </c>
      <c r="U17" s="34">
        <v>15000</v>
      </c>
      <c r="V17" s="33">
        <f>+Tabla1[[#This Row],[Unidades]]*Tabla1[[#This Row],[Precio]]</f>
        <v>3750000</v>
      </c>
      <c r="W17" s="33">
        <f>+Tabla1[[#This Row],[$ Corrientes]]*SUMPRODUCT((Tabla1[[#This Row],[Mes]]=Tabla2[Mes])*(Tabla2[Indice IPIM]))</f>
        <v>4800000</v>
      </c>
      <c r="X17" s="33">
        <f>+Tabla1[[#This Row],[$ Corrientes]]/SUMPRODUCT((Tabla1[[#This Row],[Mes]]=Tabla2[Mes])*(Tabla2[$/U$S]))</f>
        <v>65028.901734104009</v>
      </c>
      <c r="Z17" s="1" t="s">
        <v>17</v>
      </c>
      <c r="AA17" s="1">
        <v>1.1599999999999999</v>
      </c>
      <c r="AB17" s="17">
        <v>65.1666666666667</v>
      </c>
    </row>
    <row r="18" spans="1:31" ht="12.75" customHeight="1" x14ac:dyDescent="0.2">
      <c r="R18" s="52" t="s">
        <v>56</v>
      </c>
      <c r="S18" s="52" t="s">
        <v>16</v>
      </c>
      <c r="T18" s="2">
        <v>250</v>
      </c>
      <c r="U18" s="2">
        <v>20000</v>
      </c>
      <c r="V18" s="15">
        <f>+Tabla1[[#This Row],[Unidades]]*Tabla1[[#This Row],[Precio]]</f>
        <v>5000000</v>
      </c>
      <c r="W18" s="15">
        <f>+Tabla1[[#This Row],[$ Corrientes]]*SUMPRODUCT((Tabla1[[#This Row],[Mes]]=Tabla2[Mes])*(Tabla2[Indice IPIM]))</f>
        <v>5600000.0000000009</v>
      </c>
      <c r="X18" s="15">
        <f>+Tabla1[[#This Row],[$ Corrientes]]/SUMPRODUCT((Tabla1[[#This Row],[Mes]]=Tabla2[Mes])*(Tabla2[$/U$S]))</f>
        <v>73891.625615763507</v>
      </c>
      <c r="Z18" s="1" t="s">
        <v>16</v>
      </c>
      <c r="AA18" s="1">
        <v>1.1200000000000001</v>
      </c>
      <c r="AB18" s="17">
        <v>67.6666666666667</v>
      </c>
    </row>
    <row r="19" spans="1:31" ht="12.75" customHeight="1" x14ac:dyDescent="0.2">
      <c r="R19" s="52" t="s">
        <v>5</v>
      </c>
      <c r="S19" s="52" t="s">
        <v>16</v>
      </c>
      <c r="T19" s="2">
        <v>250</v>
      </c>
      <c r="U19" s="2">
        <v>2200</v>
      </c>
      <c r="V19" s="15">
        <f>+Tabla1[[#This Row],[Unidades]]*Tabla1[[#This Row],[Precio]]</f>
        <v>550000</v>
      </c>
      <c r="W19" s="15">
        <f>+Tabla1[[#This Row],[$ Corrientes]]*SUMPRODUCT((Tabla1[[#This Row],[Mes]]=Tabla2[Mes])*(Tabla2[Indice IPIM]))</f>
        <v>616000.00000000012</v>
      </c>
      <c r="X19" s="15">
        <f>+Tabla1[[#This Row],[$ Corrientes]]/SUMPRODUCT((Tabla1[[#This Row],[Mes]]=Tabla2[Mes])*(Tabla2[$/U$S]))</f>
        <v>8128.0788177339864</v>
      </c>
      <c r="Z19" s="1" t="s">
        <v>15</v>
      </c>
      <c r="AA19" s="1">
        <v>1.08</v>
      </c>
      <c r="AB19" s="17">
        <v>70.1666666666667</v>
      </c>
    </row>
    <row r="20" spans="1:31" ht="12.75" customHeight="1" x14ac:dyDescent="0.2">
      <c r="H20" s="59" t="s">
        <v>14</v>
      </c>
      <c r="I20" s="59"/>
      <c r="J20" s="24"/>
      <c r="K20" s="59" t="s">
        <v>13</v>
      </c>
      <c r="L20" s="59"/>
      <c r="M20" s="23"/>
      <c r="N20" s="23" t="s">
        <v>12</v>
      </c>
      <c r="O20" s="22"/>
      <c r="R20" s="52" t="s">
        <v>54</v>
      </c>
      <c r="S20" s="52" t="s">
        <v>16</v>
      </c>
      <c r="T20" s="2">
        <v>250</v>
      </c>
      <c r="U20" s="2">
        <v>220</v>
      </c>
      <c r="V20" s="15">
        <f>+Tabla1[[#This Row],[Unidades]]*Tabla1[[#This Row],[Precio]]</f>
        <v>55000</v>
      </c>
      <c r="W20" s="15">
        <f>+Tabla1[[#This Row],[$ Corrientes]]*SUMPRODUCT((Tabla1[[#This Row],[Mes]]=Tabla2[Mes])*(Tabla2[Indice IPIM]))</f>
        <v>61600.000000000007</v>
      </c>
      <c r="X20" s="15">
        <f>+Tabla1[[#This Row],[$ Corrientes]]/SUMPRODUCT((Tabla1[[#This Row],[Mes]]=Tabla2[Mes])*(Tabla2[$/U$S]))</f>
        <v>812.80788177339866</v>
      </c>
      <c r="Z20" s="1" t="s">
        <v>11</v>
      </c>
      <c r="AA20" s="1">
        <v>1</v>
      </c>
      <c r="AB20" s="17">
        <v>72.6666666666667</v>
      </c>
    </row>
    <row r="21" spans="1:31" ht="12.75" customHeight="1" x14ac:dyDescent="0.2">
      <c r="F21" s="3" t="s">
        <v>10</v>
      </c>
      <c r="H21" s="21" t="s">
        <v>8</v>
      </c>
      <c r="I21" s="18" t="s">
        <v>9</v>
      </c>
      <c r="K21" s="21" t="s">
        <v>8</v>
      </c>
      <c r="L21" s="18" t="s">
        <v>9</v>
      </c>
      <c r="M21" s="20"/>
      <c r="N21" s="19" t="s">
        <v>8</v>
      </c>
      <c r="O21" s="18" t="s">
        <v>7</v>
      </c>
      <c r="R21" s="52" t="s">
        <v>53</v>
      </c>
      <c r="S21" s="52" t="s">
        <v>16</v>
      </c>
      <c r="T21" s="2">
        <v>250</v>
      </c>
      <c r="U21" s="2">
        <v>440</v>
      </c>
      <c r="V21" s="15">
        <f>+Tabla1[[#This Row],[Unidades]]*Tabla1[[#This Row],[Precio]]</f>
        <v>110000</v>
      </c>
      <c r="W21" s="15">
        <f>+Tabla1[[#This Row],[$ Corrientes]]*SUMPRODUCT((Tabla1[[#This Row],[Mes]]=Tabla2[Mes])*(Tabla2[Indice IPIM]))</f>
        <v>123200.00000000001</v>
      </c>
      <c r="X21" s="15">
        <f>+Tabla1[[#This Row],[$ Corrientes]]/SUMPRODUCT((Tabla1[[#This Row],[Mes]]=Tabla2[Mes])*(Tabla2[$/U$S]))</f>
        <v>1625.6157635467973</v>
      </c>
      <c r="AB21" s="17"/>
    </row>
    <row r="22" spans="1:31" ht="12.75" customHeight="1" x14ac:dyDescent="0.2">
      <c r="C22" s="16" t="s">
        <v>56</v>
      </c>
      <c r="F22" s="3">
        <f>+SUMPRODUCT((C22=Tabla1[Movimiento])*(Tabla1[Unidades]))</f>
        <v>750</v>
      </c>
      <c r="G22" s="12"/>
      <c r="H22" s="12">
        <f>+SUMPRODUCT((C22=Tabla1[Movimiento])*(Tabla1[$ Corrientes]))</f>
        <v>12750000</v>
      </c>
      <c r="I22" s="15">
        <f>IFERROR(H22/F22,0)</f>
        <v>17000</v>
      </c>
      <c r="J22" s="12"/>
      <c r="K22" s="12">
        <f>+SUMPRODUCT((C22=Tabla1[Movimiento])*(Tabla1[$ Constantes]))</f>
        <v>16250000</v>
      </c>
      <c r="L22" s="15">
        <f>IFERROR(K22/F22,0)</f>
        <v>21666.666666666668</v>
      </c>
      <c r="M22" s="12"/>
      <c r="N22" s="12">
        <f>+SUMPRODUCT((C22=Tabla1[Movimiento])*(Tabla1[U$S Totales]))</f>
        <v>223847.56720690141</v>
      </c>
      <c r="O22" s="15">
        <f>IFERROR(N22/F22,0)</f>
        <v>298.4634229425352</v>
      </c>
      <c r="R22" s="51" t="s">
        <v>55</v>
      </c>
      <c r="S22" s="51" t="s">
        <v>15</v>
      </c>
      <c r="T22" s="34">
        <v>3000</v>
      </c>
      <c r="U22" s="34">
        <v>19000</v>
      </c>
      <c r="V22" s="33">
        <f>+Tabla1[[#This Row],[Unidades]]*Tabla1[[#This Row],[Precio]]</f>
        <v>57000000</v>
      </c>
      <c r="W22" s="33">
        <f>+Tabla1[[#This Row],[$ Corrientes]]*SUMPRODUCT((Tabla1[[#This Row],[Mes]]=Tabla2[Mes])*(Tabla2[Indice IPIM]))</f>
        <v>61560000.000000007</v>
      </c>
      <c r="X22" s="33">
        <f>+Tabla1[[#This Row],[$ Corrientes]]/SUMPRODUCT((Tabla1[[#This Row],[Mes]]=Tabla2[Mes])*(Tabla2[$/U$S]))</f>
        <v>812351.54394299246</v>
      </c>
    </row>
    <row r="23" spans="1:31" ht="12.75" customHeight="1" x14ac:dyDescent="0.2">
      <c r="C23" s="16" t="s">
        <v>5</v>
      </c>
      <c r="F23" s="3">
        <f>+SUMPRODUCT((C23=Tabla1[Movimiento])*(Tabla1[Unidades]))</f>
        <v>750</v>
      </c>
      <c r="G23" s="12"/>
      <c r="H23" s="12">
        <f>+SUMPRODUCT((C23=Tabla1[Movimiento])*(Tabla1[$ Corrientes]))</f>
        <v>1375000</v>
      </c>
      <c r="I23" s="15">
        <f>IFERROR(H23/F23,0)</f>
        <v>1833.3333333333333</v>
      </c>
      <c r="J23" s="12"/>
      <c r="K23" s="12">
        <f>+SUMPRODUCT((C23=Tabla1[Movimiento])*(Tabla1[$ Constantes]))</f>
        <v>1750000</v>
      </c>
      <c r="L23" s="15">
        <f>IFERROR(K23/F23,0)</f>
        <v>2333.3333333333335</v>
      </c>
      <c r="M23" s="12"/>
      <c r="N23" s="12">
        <f>+SUMPRODUCT((C23=Tabla1[Movimiento])*(Tabla1[U$S Totales]))</f>
        <v>24097.678515619176</v>
      </c>
      <c r="O23" s="15">
        <f>IFERROR(N23/F23,0)</f>
        <v>32.130238020825566</v>
      </c>
    </row>
    <row r="24" spans="1:31" ht="12.75" customHeight="1" x14ac:dyDescent="0.2">
      <c r="C24" s="16" t="s">
        <v>54</v>
      </c>
      <c r="F24" s="3">
        <f>+SUMPRODUCT((C24=Tabla1[Movimiento])*(Tabla1[Unidades]))</f>
        <v>750</v>
      </c>
      <c r="G24" s="12"/>
      <c r="H24" s="12">
        <f>+SUMPRODUCT((C24=Tabla1[Movimiento])*(Tabla1[$ Corrientes]))</f>
        <v>137500</v>
      </c>
      <c r="I24" s="15">
        <f>IFERROR(H24/F24,0)</f>
        <v>183.33333333333334</v>
      </c>
      <c r="J24" s="12"/>
      <c r="K24" s="12">
        <f>+SUMPRODUCT((C24=Tabla1[Movimiento])*(Tabla1[$ Constantes]))</f>
        <v>175000</v>
      </c>
      <c r="L24" s="15">
        <f>IFERROR(K24/F24,0)</f>
        <v>233.33333333333334</v>
      </c>
      <c r="M24" s="12"/>
      <c r="N24" s="12">
        <f>+SUMPRODUCT((C24=Tabla1[Movimiento])*(Tabla1[U$S Totales]))</f>
        <v>2409.7678515619177</v>
      </c>
      <c r="O24" s="15">
        <f>IFERROR(N24/F24,0)</f>
        <v>3.213023802082557</v>
      </c>
    </row>
    <row r="25" spans="1:31" ht="12.75" customHeight="1" x14ac:dyDescent="0.2">
      <c r="C25" s="16" t="s">
        <v>53</v>
      </c>
      <c r="F25" s="3">
        <f>+SUMPRODUCT((C25=Tabla1[Movimiento])*(Tabla1[Unidades]))</f>
        <v>750</v>
      </c>
      <c r="G25" s="12"/>
      <c r="H25" s="12">
        <f>+SUMPRODUCT((C25=Tabla1[Movimiento])*(Tabla1[$ Corrientes]))</f>
        <v>275000</v>
      </c>
      <c r="I25" s="15">
        <f>IFERROR(H25/F25,0)</f>
        <v>366.66666666666669</v>
      </c>
      <c r="J25" s="12"/>
      <c r="K25" s="12">
        <f>+SUMPRODUCT((C25=Tabla1[Movimiento])*(Tabla1[$ Constantes]))</f>
        <v>350000</v>
      </c>
      <c r="L25" s="15">
        <f>IFERROR(K25/F25,0)</f>
        <v>466.66666666666669</v>
      </c>
      <c r="M25" s="12"/>
      <c r="N25" s="12">
        <f>+SUMPRODUCT((C25=Tabla1[Movimiento])*(Tabla1[U$S Totales]))</f>
        <v>4819.5357031238354</v>
      </c>
      <c r="O25" s="15">
        <f>IFERROR(N25/F25,0)</f>
        <v>6.426047604165114</v>
      </c>
    </row>
    <row r="26" spans="1:31" ht="12.75" customHeight="1" x14ac:dyDescent="0.2">
      <c r="C26" s="16" t="s">
        <v>52</v>
      </c>
      <c r="F26" s="3">
        <f>+SUMPRODUCT((C26=Tabla1[Movimiento])*(Tabla1[Unidades]))</f>
        <v>0</v>
      </c>
      <c r="G26" s="12"/>
      <c r="H26" s="12">
        <f>+SUMPRODUCT((C26=Tabla1[Movimiento])*(Tabla1[$ Corrientes]))</f>
        <v>0</v>
      </c>
      <c r="I26" s="15">
        <f>IFERROR(H26/F26,0)</f>
        <v>0</v>
      </c>
      <c r="J26" s="12"/>
      <c r="K26" s="12">
        <f>+SUMPRODUCT((C26=Tabla1[Movimiento])*(Tabla1[$ Constantes]))</f>
        <v>0</v>
      </c>
      <c r="L26" s="15">
        <f>IFERROR(K26/F26,0)</f>
        <v>0</v>
      </c>
      <c r="M26" s="12"/>
      <c r="N26" s="12">
        <f>+SUMPRODUCT((C26=Tabla1[Movimiento])*(Tabla1[U$S Totales]))</f>
        <v>0</v>
      </c>
      <c r="O26" s="15">
        <f>IFERROR(N26/F26,0)</f>
        <v>0</v>
      </c>
    </row>
    <row r="27" spans="1:31" ht="12.75" customHeight="1" x14ac:dyDescent="0.2">
      <c r="C27" s="14" t="s">
        <v>51</v>
      </c>
      <c r="D27" s="14"/>
      <c r="E27" s="14"/>
      <c r="F27" s="13">
        <f>+F22</f>
        <v>750</v>
      </c>
      <c r="G27" s="12"/>
      <c r="H27" s="11">
        <f>+H22-SUM(H23:H26)</f>
        <v>10962500</v>
      </c>
      <c r="I27" s="10">
        <f>+H27/F27</f>
        <v>14616.666666666666</v>
      </c>
      <c r="J27" s="12"/>
      <c r="K27" s="11">
        <f>+K22-SUM(K23:K26)</f>
        <v>13975000</v>
      </c>
      <c r="L27" s="10">
        <f>+K27/F27</f>
        <v>18633.333333333332</v>
      </c>
      <c r="M27" s="12"/>
      <c r="N27" s="11">
        <f>+N22-SUM(N23:N26)</f>
        <v>192520.58513659649</v>
      </c>
      <c r="O27" s="10">
        <f>+N27/F27</f>
        <v>256.69411351546199</v>
      </c>
    </row>
    <row r="28" spans="1:31" ht="12.75" customHeight="1" x14ac:dyDescent="0.2"/>
    <row r="29" spans="1:31" ht="12.75" customHeight="1" x14ac:dyDescent="0.2">
      <c r="C29" s="50"/>
    </row>
    <row r="30" spans="1:31" ht="12.75" x14ac:dyDescent="0.2">
      <c r="A30" s="4"/>
      <c r="B30" s="4"/>
      <c r="C30" s="9" t="s">
        <v>1</v>
      </c>
      <c r="D30" s="4"/>
      <c r="E30" s="8"/>
      <c r="F30" s="5"/>
      <c r="G30" s="7"/>
      <c r="H30" s="4"/>
      <c r="I30" s="5"/>
      <c r="J30" s="4"/>
      <c r="K30" s="7"/>
      <c r="L30" s="5"/>
      <c r="M30" s="4"/>
      <c r="N30" s="4"/>
      <c r="O30" s="6"/>
      <c r="P30" s="4"/>
      <c r="Q30" s="4"/>
      <c r="R30" s="4"/>
      <c r="S30" s="4"/>
      <c r="T30" s="5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ht="12.75" x14ac:dyDescent="0.2">
      <c r="A31" s="4"/>
      <c r="B31" s="4"/>
      <c r="C31" s="9" t="s">
        <v>0</v>
      </c>
      <c r="D31" s="4"/>
      <c r="E31" s="8"/>
      <c r="F31" s="5"/>
      <c r="G31" s="7"/>
      <c r="H31" s="4"/>
      <c r="I31" s="5"/>
      <c r="J31" s="4"/>
      <c r="K31" s="7"/>
      <c r="L31" s="5"/>
      <c r="M31" s="4"/>
      <c r="N31" s="4"/>
      <c r="O31" s="6"/>
      <c r="P31" s="4"/>
      <c r="Q31" s="4"/>
      <c r="R31" s="4"/>
      <c r="S31" s="4"/>
      <c r="T31" s="5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ht="12.75" x14ac:dyDescent="0.2">
      <c r="A32" s="4"/>
      <c r="B32" s="4"/>
      <c r="C32" s="4"/>
      <c r="D32" s="4"/>
      <c r="E32" s="8"/>
      <c r="F32" s="5"/>
      <c r="G32" s="7"/>
      <c r="H32" s="4"/>
      <c r="I32" s="5"/>
      <c r="J32" s="4"/>
      <c r="K32" s="7"/>
      <c r="L32" s="5"/>
      <c r="M32" s="4"/>
      <c r="N32" s="4"/>
      <c r="O32" s="6"/>
      <c r="P32" s="4"/>
      <c r="Q32" s="4"/>
      <c r="R32" s="4"/>
      <c r="S32" s="4"/>
      <c r="T32" s="5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3:28" ht="12.75" x14ac:dyDescent="0.2"/>
    <row r="34" spans="3:28" s="42" customFormat="1" ht="12.75" x14ac:dyDescent="0.2">
      <c r="D34" s="49" t="s">
        <v>50</v>
      </c>
      <c r="F34" s="48"/>
      <c r="G34" s="47"/>
      <c r="I34" s="46" t="s">
        <v>49</v>
      </c>
      <c r="K34" s="45"/>
      <c r="L34" s="43"/>
      <c r="M34" s="44" t="s">
        <v>48</v>
      </c>
      <c r="O34" s="43"/>
    </row>
    <row r="35" spans="3:28" ht="12.75" x14ac:dyDescent="0.2">
      <c r="D35" s="41" t="s">
        <v>47</v>
      </c>
      <c r="F35" s="15"/>
      <c r="G35" s="40"/>
    </row>
    <row r="36" spans="3:28" ht="12.75" customHeight="1" x14ac:dyDescent="0.2"/>
    <row r="37" spans="3:28" ht="12.75" customHeight="1" x14ac:dyDescent="0.2"/>
    <row r="38" spans="3:28" ht="12.75" customHeight="1" x14ac:dyDescent="0.2">
      <c r="C38" s="1" t="s">
        <v>46</v>
      </c>
      <c r="D38" s="39" t="s">
        <v>45</v>
      </c>
      <c r="E38" s="39"/>
    </row>
    <row r="39" spans="3:28" ht="12.75" customHeight="1" x14ac:dyDescent="0.2">
      <c r="H39" s="59" t="s">
        <v>14</v>
      </c>
      <c r="I39" s="59"/>
      <c r="J39" s="24"/>
      <c r="K39" s="59" t="s">
        <v>13</v>
      </c>
      <c r="L39" s="59"/>
      <c r="M39" s="23"/>
      <c r="N39" s="23" t="s">
        <v>12</v>
      </c>
      <c r="O39" s="22"/>
      <c r="R39" s="1" t="s">
        <v>44</v>
      </c>
    </row>
    <row r="40" spans="3:28" ht="12.75" customHeight="1" x14ac:dyDescent="0.2">
      <c r="F40" s="3" t="s">
        <v>10</v>
      </c>
      <c r="H40" s="21" t="s">
        <v>8</v>
      </c>
      <c r="I40" s="18" t="s">
        <v>43</v>
      </c>
      <c r="K40" s="21" t="s">
        <v>8</v>
      </c>
      <c r="L40" s="18" t="s">
        <v>43</v>
      </c>
      <c r="M40" s="20"/>
      <c r="N40" s="19" t="s">
        <v>8</v>
      </c>
      <c r="O40" s="18" t="s">
        <v>42</v>
      </c>
      <c r="R40" s="38" t="s">
        <v>41</v>
      </c>
      <c r="S40" s="38" t="s">
        <v>36</v>
      </c>
      <c r="T40" s="38" t="s">
        <v>10</v>
      </c>
      <c r="U40" s="38" t="s">
        <v>40</v>
      </c>
      <c r="V40" s="38" t="s">
        <v>39</v>
      </c>
      <c r="W40" s="38" t="s">
        <v>38</v>
      </c>
      <c r="X40" s="38" t="s">
        <v>37</v>
      </c>
      <c r="Z40" s="1" t="s">
        <v>36</v>
      </c>
      <c r="AA40" s="1" t="s">
        <v>35</v>
      </c>
      <c r="AB40" s="1" t="s">
        <v>34</v>
      </c>
    </row>
    <row r="41" spans="3:28" ht="12.75" customHeight="1" x14ac:dyDescent="0.2">
      <c r="C41" s="37" t="s">
        <v>33</v>
      </c>
      <c r="D41" s="36"/>
      <c r="E41" s="36"/>
      <c r="F41" s="3">
        <v>1000</v>
      </c>
      <c r="H41" s="26">
        <v>23500000</v>
      </c>
      <c r="I41" s="15">
        <f>IFERROR(H41/F41,0)</f>
        <v>23500</v>
      </c>
      <c r="K41" s="12">
        <f>+H41*Tabla25[[#This Row],[Indice IPIM]]</f>
        <v>34780000</v>
      </c>
      <c r="L41" s="15">
        <f>IFERROR(K41/F41,0)</f>
        <v>34780</v>
      </c>
      <c r="N41" s="12">
        <f>+H41/Tabla25[[#This Row],[$/U$S]]</f>
        <v>522222.22222222225</v>
      </c>
      <c r="O41" s="15">
        <f>IFERROR(N41/F41,0)</f>
        <v>522.22222222222229</v>
      </c>
      <c r="R41" s="34" t="s">
        <v>6</v>
      </c>
      <c r="S41" s="34" t="s">
        <v>31</v>
      </c>
      <c r="T41" s="34">
        <v>250</v>
      </c>
      <c r="U41" s="34">
        <v>30000</v>
      </c>
      <c r="V41" s="33">
        <f>+Tabla14[[#This Row],[Unidades]]*Tabla14[[#This Row],[Precio]]</f>
        <v>7500000</v>
      </c>
      <c r="W41" s="33">
        <f>+Tabla14[[#This Row],[$ Corrientes]]*SUMPRODUCT((Tabla14[[#This Row],[Mes]]=Tabla25[Mes])*(Tabla25[Indice IPIM]))</f>
        <v>10800000</v>
      </c>
      <c r="X41" s="33">
        <f>+Tabla14[[#This Row],[$ Corrientes]]/SUMPRODUCT((Tabla14[[#This Row],[Mes]]=Tabla25[Mes])*(Tabla25[$/U$S]))</f>
        <v>156250</v>
      </c>
      <c r="Z41" s="1" t="s">
        <v>32</v>
      </c>
      <c r="AA41" s="1">
        <v>1.48</v>
      </c>
      <c r="AB41" s="17">
        <v>45</v>
      </c>
    </row>
    <row r="42" spans="3:28" ht="12.75" customHeight="1" x14ac:dyDescent="0.2">
      <c r="C42" s="37" t="s">
        <v>2</v>
      </c>
      <c r="D42" s="36"/>
      <c r="E42" s="36"/>
      <c r="F42" s="3">
        <f>+F58</f>
        <v>750</v>
      </c>
      <c r="H42" s="26">
        <f>+H58</f>
        <v>23875000</v>
      </c>
      <c r="I42" s="15">
        <f>IFERROR(H42/F42,0)</f>
        <v>31833.333333333332</v>
      </c>
      <c r="J42" s="26"/>
      <c r="K42" s="26">
        <f>+K58</f>
        <v>30950000</v>
      </c>
      <c r="L42" s="15">
        <f>IFERROR(K42/F42,0)</f>
        <v>41266.666666666664</v>
      </c>
      <c r="M42" s="26"/>
      <c r="N42" s="26">
        <f>+N58</f>
        <v>428811.06011786929</v>
      </c>
      <c r="O42" s="15">
        <f>IFERROR(N42/F42,0)</f>
        <v>571.74808015715905</v>
      </c>
      <c r="R42" s="34" t="s">
        <v>5</v>
      </c>
      <c r="S42" s="34" t="s">
        <v>31</v>
      </c>
      <c r="T42" s="34">
        <v>250</v>
      </c>
      <c r="U42" s="34">
        <v>1500</v>
      </c>
      <c r="V42" s="33">
        <f>+Tabla14[[#This Row],[Unidades]]*Tabla14[[#This Row],[Precio]]</f>
        <v>375000</v>
      </c>
      <c r="W42" s="33">
        <f>+Tabla14[[#This Row],[$ Corrientes]]*SUMPRODUCT((Tabla14[[#This Row],[Mes]]=Tabla25[Mes])*(Tabla25[Indice IPIM]))</f>
        <v>540000</v>
      </c>
      <c r="X42" s="33">
        <f>+Tabla14[[#This Row],[$ Corrientes]]/SUMPRODUCT((Tabla14[[#This Row],[Mes]]=Tabla25[Mes])*(Tabla25[$/U$S]))</f>
        <v>7812.5</v>
      </c>
      <c r="Z42" s="1" t="s">
        <v>31</v>
      </c>
      <c r="AA42" s="1">
        <v>1.44</v>
      </c>
      <c r="AB42" s="17">
        <v>48</v>
      </c>
    </row>
    <row r="43" spans="3:28" ht="12.75" customHeight="1" x14ac:dyDescent="0.2">
      <c r="C43" s="16" t="s">
        <v>30</v>
      </c>
      <c r="F43" s="3">
        <f>+SUMPRODUCT((C43=Tabla14[Movimiento])*(Tabla14[Unidades]))</f>
        <v>0</v>
      </c>
      <c r="H43" s="12">
        <f>+SUMPRODUCT((C43=Tabla14[Movimiento])*(Tabla14[$ Corrientes]))</f>
        <v>0</v>
      </c>
      <c r="I43" s="15">
        <f>IFERROR(H43/F43,0)</f>
        <v>0</v>
      </c>
      <c r="J43" s="12"/>
      <c r="K43" s="12">
        <f>+SUMPRODUCT((C43=Tabla14[Movimiento])*(Tabla14[$ Constantes]))</f>
        <v>0</v>
      </c>
      <c r="L43" s="15">
        <f>IFERROR(K43/F43,0)</f>
        <v>0</v>
      </c>
      <c r="M43" s="12"/>
      <c r="N43" s="12">
        <f>+SUMPRODUCT((C43=Tabla14[Movimiento])*(Tabla14[U$S Totales]))</f>
        <v>0</v>
      </c>
      <c r="O43" s="15">
        <f>IFERROR(N43/F43,0)</f>
        <v>0</v>
      </c>
      <c r="R43" s="2" t="s">
        <v>6</v>
      </c>
      <c r="S43" s="2" t="s">
        <v>27</v>
      </c>
      <c r="T43" s="2">
        <v>250</v>
      </c>
      <c r="U43" s="2">
        <v>32000</v>
      </c>
      <c r="V43" s="15">
        <f>+Tabla14[[#This Row],[Unidades]]*Tabla14[[#This Row],[Precio]]</f>
        <v>8000000</v>
      </c>
      <c r="W43" s="15">
        <f>+Tabla14[[#This Row],[$ Corrientes]]*SUMPRODUCT((Tabla14[[#This Row],[Mes]]=Tabla25[Mes])*(Tabla25[Indice IPIM]))</f>
        <v>10560000</v>
      </c>
      <c r="X43" s="15">
        <f>+Tabla14[[#This Row],[$ Corrientes]]/SUMPRODUCT((Tabla14[[#This Row],[Mes]]=Tabla25[Mes])*(Tabla25[$/U$S]))</f>
        <v>145015.10574018117</v>
      </c>
      <c r="Z43" s="1" t="s">
        <v>29</v>
      </c>
      <c r="AA43" s="1">
        <v>1.4</v>
      </c>
      <c r="AB43" s="17">
        <v>50</v>
      </c>
    </row>
    <row r="44" spans="3:28" ht="12.75" customHeight="1" x14ac:dyDescent="0.2">
      <c r="C44" s="16" t="s">
        <v>21</v>
      </c>
      <c r="F44" s="3">
        <f>+SUMPRODUCT((C44=Tabla14[Movimiento])*(Tabla14[Unidades]))</f>
        <v>800</v>
      </c>
      <c r="H44" s="12">
        <f>+SUMPRODUCT((C44=Tabla14[Movimiento])*(Tabla14[$ Corrientes]))</f>
        <v>24800000</v>
      </c>
      <c r="I44" s="15">
        <f>IFERROR(H44/F44,0)</f>
        <v>31000</v>
      </c>
      <c r="J44" s="12"/>
      <c r="K44" s="12">
        <f>+SUMPRODUCT((C44=Tabla14[Movimiento])*(Tabla14[$ Constantes]))</f>
        <v>32612000</v>
      </c>
      <c r="L44" s="15">
        <f>IFERROR(K44/F44,0)</f>
        <v>40765</v>
      </c>
      <c r="M44" s="12"/>
      <c r="N44" s="12">
        <f>+SUMPRODUCT((C44=Tabla14[Movimiento])*(Tabla14[U$S Totales]))</f>
        <v>447920.17267871485</v>
      </c>
      <c r="O44" s="15">
        <f>IFERROR(N44/F44,0)</f>
        <v>559.9002158483936</v>
      </c>
      <c r="R44" s="2" t="s">
        <v>5</v>
      </c>
      <c r="S44" s="2" t="s">
        <v>27</v>
      </c>
      <c r="T44" s="2">
        <v>250</v>
      </c>
      <c r="U44" s="2">
        <v>1800</v>
      </c>
      <c r="V44" s="15">
        <f>+Tabla14[[#This Row],[Unidades]]*Tabla14[[#This Row],[Precio]]</f>
        <v>450000</v>
      </c>
      <c r="W44" s="15">
        <f>+Tabla14[[#This Row],[$ Corrientes]]*SUMPRODUCT((Tabla14[[#This Row],[Mes]]=Tabla25[Mes])*(Tabla25[Indice IPIM]))</f>
        <v>594000</v>
      </c>
      <c r="X44" s="15">
        <f>+Tabla14[[#This Row],[$ Corrientes]]/SUMPRODUCT((Tabla14[[#This Row],[Mes]]=Tabla25[Mes])*(Tabla25[$/U$S]))</f>
        <v>8157.0996978851917</v>
      </c>
      <c r="Z44" s="1" t="s">
        <v>24</v>
      </c>
      <c r="AA44" s="1">
        <v>1.36</v>
      </c>
      <c r="AB44" s="17">
        <v>52.6666666666667</v>
      </c>
    </row>
    <row r="45" spans="3:28" ht="12.75" customHeight="1" x14ac:dyDescent="0.2">
      <c r="C45" s="16" t="s">
        <v>28</v>
      </c>
      <c r="F45" s="3">
        <f>+F41+F42+F43-F44</f>
        <v>950</v>
      </c>
      <c r="H45" s="26">
        <f>+H41+H42+H43-H44</f>
        <v>22575000</v>
      </c>
      <c r="I45" s="15">
        <f>IFERROR(H45/F45,0)</f>
        <v>23763.157894736843</v>
      </c>
      <c r="K45" s="26">
        <f>+K41+K42+K43-K44</f>
        <v>33118000</v>
      </c>
      <c r="L45" s="15">
        <f>IFERROR(K45/F45,0)</f>
        <v>34861.052631578947</v>
      </c>
      <c r="N45" s="26">
        <f>+N41+N42+N43-N44</f>
        <v>503113.10966137669</v>
      </c>
      <c r="O45" s="15">
        <f>IFERROR(N45/F45,0)</f>
        <v>529.59274701197546</v>
      </c>
      <c r="R45" s="34" t="s">
        <v>6</v>
      </c>
      <c r="S45" s="34" t="s">
        <v>16</v>
      </c>
      <c r="T45" s="34">
        <v>250</v>
      </c>
      <c r="U45" s="34">
        <v>28000</v>
      </c>
      <c r="V45" s="33">
        <f>+Tabla14[[#This Row],[Unidades]]*Tabla14[[#This Row],[Precio]]</f>
        <v>7000000</v>
      </c>
      <c r="W45" s="33">
        <f>+Tabla14[[#This Row],[$ Corrientes]]*SUMPRODUCT((Tabla14[[#This Row],[Mes]]=Tabla25[Mes])*(Tabla25[Indice IPIM]))</f>
        <v>7840000.0000000009</v>
      </c>
      <c r="X45" s="33">
        <f>+Tabla14[[#This Row],[$ Corrientes]]/SUMPRODUCT((Tabla14[[#This Row],[Mes]]=Tabla25[Mes])*(Tabla25[$/U$S]))</f>
        <v>103448.27586206891</v>
      </c>
      <c r="Z45" s="1" t="s">
        <v>27</v>
      </c>
      <c r="AA45" s="1">
        <v>1.32</v>
      </c>
      <c r="AB45" s="17">
        <v>55.1666666666667</v>
      </c>
    </row>
    <row r="46" spans="3:28" ht="12.75" customHeight="1" x14ac:dyDescent="0.2">
      <c r="C46" s="35" t="s">
        <v>26</v>
      </c>
      <c r="D46" s="29"/>
      <c r="E46" s="29"/>
      <c r="F46" s="30"/>
      <c r="G46" s="12"/>
      <c r="H46" s="29">
        <f>+H47-H45</f>
        <v>13525000</v>
      </c>
      <c r="I46" s="28">
        <f>+I47-I45</f>
        <v>14236.842105263157</v>
      </c>
      <c r="J46" s="12"/>
      <c r="K46" s="29">
        <f>+H46/AA52</f>
        <v>13004807.692307692</v>
      </c>
      <c r="L46" s="28">
        <f>+L47-L45</f>
        <v>13689.271255060732</v>
      </c>
      <c r="M46" s="12"/>
      <c r="N46" s="29">
        <f>+H46/AB52</f>
        <v>186123.85321100909</v>
      </c>
      <c r="O46" s="28">
        <f>+O47-O45</f>
        <v>195.91984548527273</v>
      </c>
      <c r="R46" s="34" t="s">
        <v>5</v>
      </c>
      <c r="S46" s="34" t="s">
        <v>16</v>
      </c>
      <c r="T46" s="34">
        <v>250</v>
      </c>
      <c r="U46" s="34">
        <v>2200</v>
      </c>
      <c r="V46" s="33">
        <f>+Tabla14[[#This Row],[Unidades]]*Tabla14[[#This Row],[Precio]]</f>
        <v>550000</v>
      </c>
      <c r="W46" s="33">
        <f>+Tabla14[[#This Row],[$ Corrientes]]*SUMPRODUCT((Tabla14[[#This Row],[Mes]]=Tabla25[Mes])*(Tabla25[Indice IPIM]))</f>
        <v>616000.00000000012</v>
      </c>
      <c r="X46" s="33">
        <f>+Tabla14[[#This Row],[$ Corrientes]]/SUMPRODUCT((Tabla14[[#This Row],[Mes]]=Tabla25[Mes])*(Tabla25[$/U$S]))</f>
        <v>8128.0788177339864</v>
      </c>
      <c r="Z46" s="1" t="s">
        <v>20</v>
      </c>
      <c r="AA46" s="1">
        <v>1.28</v>
      </c>
      <c r="AB46" s="17">
        <v>57.6666666666667</v>
      </c>
    </row>
    <row r="47" spans="3:28" ht="12.75" customHeight="1" x14ac:dyDescent="0.2">
      <c r="C47" s="16" t="s">
        <v>25</v>
      </c>
      <c r="F47" s="3">
        <f>+F45</f>
        <v>950</v>
      </c>
      <c r="H47" s="26">
        <f>+I47*F47</f>
        <v>36100000</v>
      </c>
      <c r="I47" s="32">
        <v>38000</v>
      </c>
      <c r="K47" s="26">
        <f>+K45+K46</f>
        <v>46122807.692307696</v>
      </c>
      <c r="L47" s="15">
        <f>+K47/F47</f>
        <v>48550.323886639679</v>
      </c>
      <c r="N47" s="26">
        <f>+N45+N46</f>
        <v>689236.96287238575</v>
      </c>
      <c r="O47" s="15">
        <f>+N47/F47</f>
        <v>725.51259249724819</v>
      </c>
      <c r="R47" s="2" t="s">
        <v>21</v>
      </c>
      <c r="S47" s="2" t="s">
        <v>24</v>
      </c>
      <c r="T47" s="2">
        <v>350</v>
      </c>
      <c r="U47" s="2">
        <v>31000</v>
      </c>
      <c r="V47" s="15">
        <f>+Tabla14[[#This Row],[Unidades]]*Tabla14[[#This Row],[Precio]]</f>
        <v>10850000</v>
      </c>
      <c r="W47" s="15">
        <f>+Tabla14[[#This Row],[$ Corrientes]]*SUMPRODUCT((Tabla14[[#This Row],[Mes]]=Tabla25[Mes])*(Tabla25[Indice IPIM]))</f>
        <v>14756000.000000002</v>
      </c>
      <c r="X47" s="15">
        <f>+Tabla14[[#This Row],[$ Corrientes]]/SUMPRODUCT((Tabla14[[#This Row],[Mes]]=Tabla25[Mes])*(Tabla25[$/U$S]))</f>
        <v>206012.65822784798</v>
      </c>
      <c r="Z47" s="1" t="s">
        <v>23</v>
      </c>
      <c r="AA47" s="1">
        <v>1.24</v>
      </c>
      <c r="AB47" s="17">
        <v>60.1666666666667</v>
      </c>
    </row>
    <row r="48" spans="3:28" ht="12.75" customHeight="1" x14ac:dyDescent="0.2">
      <c r="C48" s="31" t="s">
        <v>22</v>
      </c>
      <c r="D48" s="29"/>
      <c r="E48" s="29"/>
      <c r="F48" s="30"/>
      <c r="G48" s="12"/>
      <c r="J48" s="12"/>
      <c r="K48" s="29">
        <f>+K49-K47</f>
        <v>-10022807.692307696</v>
      </c>
      <c r="L48" s="28">
        <f>+L49-L47</f>
        <v>-10550.323886639679</v>
      </c>
      <c r="M48" s="12"/>
      <c r="N48" s="29">
        <f>+N49-N47</f>
        <v>-192447.97204669786</v>
      </c>
      <c r="O48" s="28">
        <f>+O49-O47</f>
        <v>-202.57681268073463</v>
      </c>
      <c r="R48" s="2" t="s">
        <v>21</v>
      </c>
      <c r="S48" s="2" t="s">
        <v>20</v>
      </c>
      <c r="T48" s="2">
        <v>450</v>
      </c>
      <c r="U48" s="2">
        <v>31000</v>
      </c>
      <c r="V48" s="15">
        <f>+Tabla14[[#This Row],[Unidades]]*Tabla14[[#This Row],[Precio]]</f>
        <v>13950000</v>
      </c>
      <c r="W48" s="15">
        <f>+Tabla14[[#This Row],[$ Corrientes]]*SUMPRODUCT((Tabla14[[#This Row],[Mes]]=Tabla25[Mes])*(Tabla25[Indice IPIM]))</f>
        <v>17856000</v>
      </c>
      <c r="X48" s="15">
        <f>+Tabla14[[#This Row],[$ Corrientes]]/SUMPRODUCT((Tabla14[[#This Row],[Mes]]=Tabla25[Mes])*(Tabla25[$/U$S]))</f>
        <v>241907.5144508669</v>
      </c>
      <c r="Z48" s="1" t="s">
        <v>19</v>
      </c>
      <c r="AA48" s="1">
        <v>1.2</v>
      </c>
      <c r="AB48" s="17">
        <v>62.6666666666667</v>
      </c>
    </row>
    <row r="49" spans="1:31" ht="12.75" customHeight="1" x14ac:dyDescent="0.2">
      <c r="C49" s="16" t="s">
        <v>18</v>
      </c>
      <c r="F49" s="3">
        <f>+F47</f>
        <v>950</v>
      </c>
      <c r="K49" s="26">
        <f>+H47</f>
        <v>36100000</v>
      </c>
      <c r="L49" s="27">
        <f>+I47</f>
        <v>38000</v>
      </c>
      <c r="N49" s="26">
        <f>+F49*O49</f>
        <v>496788.99082568788</v>
      </c>
      <c r="O49" s="25">
        <f>+I47/AB52</f>
        <v>522.93577981651356</v>
      </c>
      <c r="Z49" s="1" t="s">
        <v>17</v>
      </c>
      <c r="AA49" s="1">
        <v>1.1599999999999999</v>
      </c>
      <c r="AB49" s="17">
        <v>65.1666666666667</v>
      </c>
    </row>
    <row r="50" spans="1:31" ht="12.75" customHeight="1" x14ac:dyDescent="0.2">
      <c r="Z50" s="1" t="s">
        <v>16</v>
      </c>
      <c r="AA50" s="1">
        <v>1.1200000000000001</v>
      </c>
      <c r="AB50" s="17">
        <v>67.6666666666667</v>
      </c>
    </row>
    <row r="51" spans="1:31" ht="12.75" customHeight="1" x14ac:dyDescent="0.2">
      <c r="Z51" s="1" t="s">
        <v>15</v>
      </c>
      <c r="AA51" s="1">
        <v>1.08</v>
      </c>
      <c r="AB51" s="17">
        <v>70.1666666666667</v>
      </c>
    </row>
    <row r="52" spans="1:31" ht="12.75" customHeight="1" x14ac:dyDescent="0.2">
      <c r="H52" s="59" t="s">
        <v>14</v>
      </c>
      <c r="I52" s="59"/>
      <c r="J52" s="24"/>
      <c r="K52" s="59" t="s">
        <v>13</v>
      </c>
      <c r="L52" s="59"/>
      <c r="M52" s="23"/>
      <c r="N52" s="23" t="s">
        <v>12</v>
      </c>
      <c r="O52" s="22"/>
      <c r="Z52" s="1" t="s">
        <v>11</v>
      </c>
      <c r="AA52" s="1">
        <v>1.04</v>
      </c>
      <c r="AB52" s="17">
        <v>72.6666666666667</v>
      </c>
    </row>
    <row r="53" spans="1:31" ht="12.75" customHeight="1" x14ac:dyDescent="0.2">
      <c r="F53" s="3" t="s">
        <v>10</v>
      </c>
      <c r="H53" s="21" t="s">
        <v>8</v>
      </c>
      <c r="I53" s="18" t="s">
        <v>9</v>
      </c>
      <c r="K53" s="21" t="s">
        <v>8</v>
      </c>
      <c r="L53" s="18" t="s">
        <v>9</v>
      </c>
      <c r="M53" s="20"/>
      <c r="N53" s="19" t="s">
        <v>8</v>
      </c>
      <c r="O53" s="18" t="s">
        <v>7</v>
      </c>
      <c r="AB53" s="17"/>
    </row>
    <row r="54" spans="1:31" ht="12.75" customHeight="1" x14ac:dyDescent="0.2">
      <c r="C54" s="16" t="s">
        <v>6</v>
      </c>
      <c r="F54" s="3">
        <f>+SUMPRODUCT((C54=Tabla14[Movimiento])*(Tabla14[Unidades]))</f>
        <v>750</v>
      </c>
      <c r="G54" s="12"/>
      <c r="H54" s="12">
        <f>+SUMPRODUCT((C54=Tabla14[Movimiento])*(Tabla14[$ Corrientes]))</f>
        <v>22500000</v>
      </c>
      <c r="I54" s="15">
        <f>IFERROR(H54/F54,0)</f>
        <v>30000</v>
      </c>
      <c r="J54" s="12"/>
      <c r="K54" s="12">
        <f>+SUMPRODUCT((C54=Tabla14[Movimiento])*(Tabla14[$ Constantes]))</f>
        <v>29200000</v>
      </c>
      <c r="L54" s="15">
        <f>IFERROR(K54/F54,0)</f>
        <v>38933.333333333336</v>
      </c>
      <c r="M54" s="12"/>
      <c r="N54" s="12">
        <f>+SUMPRODUCT((C54=Tabla14[Movimiento])*(Tabla14[U$S Totales]))</f>
        <v>404713.3816022501</v>
      </c>
      <c r="O54" s="15">
        <f>IFERROR(N54/F54,0)</f>
        <v>539.61784213633348</v>
      </c>
    </row>
    <row r="55" spans="1:31" ht="12.75" customHeight="1" x14ac:dyDescent="0.2">
      <c r="C55" s="16" t="s">
        <v>5</v>
      </c>
      <c r="F55" s="3">
        <f>+SUMPRODUCT((C55=Tabla14[Movimiento])*(Tabla14[Unidades]))</f>
        <v>750</v>
      </c>
      <c r="G55" s="12"/>
      <c r="H55" s="12">
        <f>+SUMPRODUCT((C55=Tabla14[Movimiento])*(Tabla14[$ Corrientes]))</f>
        <v>1375000</v>
      </c>
      <c r="I55" s="15">
        <f>IFERROR(H55/F55,0)</f>
        <v>1833.3333333333333</v>
      </c>
      <c r="J55" s="12"/>
      <c r="K55" s="12">
        <f>+SUMPRODUCT((C55=Tabla14[Movimiento])*(Tabla14[$ Constantes]))</f>
        <v>1750000</v>
      </c>
      <c r="L55" s="15">
        <f>IFERROR(K55/F55,0)</f>
        <v>2333.3333333333335</v>
      </c>
      <c r="M55" s="12"/>
      <c r="N55" s="12">
        <f>+SUMPRODUCT((C55=Tabla14[Movimiento])*(Tabla14[U$S Totales]))</f>
        <v>24097.678515619176</v>
      </c>
      <c r="O55" s="15">
        <f>IFERROR(N55/F55,0)</f>
        <v>32.130238020825566</v>
      </c>
    </row>
    <row r="56" spans="1:31" ht="12.75" customHeight="1" x14ac:dyDescent="0.2">
      <c r="C56" s="16" t="s">
        <v>4</v>
      </c>
      <c r="F56" s="3">
        <f>+SUMPRODUCT((C56=Tabla14[Movimiento])*(Tabla14[Unidades]))</f>
        <v>0</v>
      </c>
      <c r="G56" s="12"/>
      <c r="H56" s="12">
        <f>+SUMPRODUCT((C56=Tabla14[Movimiento])*(Tabla14[$ Corrientes]))</f>
        <v>0</v>
      </c>
      <c r="I56" s="15">
        <f>IFERROR(H56/F56,0)</f>
        <v>0</v>
      </c>
      <c r="J56" s="12"/>
      <c r="K56" s="12">
        <f>+SUMPRODUCT((C56=Tabla14[Movimiento])*(Tabla14[$ Constantes]))</f>
        <v>0</v>
      </c>
      <c r="L56" s="15">
        <f>IFERROR(K56/F56,0)</f>
        <v>0</v>
      </c>
      <c r="M56" s="12"/>
      <c r="N56" s="12">
        <f>+SUMPRODUCT((C56=Tabla14[Movimiento])*(Tabla14[U$S Totales]))</f>
        <v>0</v>
      </c>
      <c r="O56" s="15">
        <f>IFERROR(N56/F56,0)</f>
        <v>0</v>
      </c>
    </row>
    <row r="57" spans="1:31" ht="12.75" customHeight="1" x14ac:dyDescent="0.2">
      <c r="C57" s="16" t="s">
        <v>3</v>
      </c>
      <c r="F57" s="3">
        <f>+SUMPRODUCT((C57=Tabla14[Movimiento])*(Tabla14[Unidades]))</f>
        <v>0</v>
      </c>
      <c r="G57" s="12"/>
      <c r="H57" s="12">
        <f>+SUMPRODUCT((C57=Tabla14[Movimiento])*(Tabla14[$ Corrientes]))</f>
        <v>0</v>
      </c>
      <c r="I57" s="15">
        <f>IFERROR(H57/F57,0)</f>
        <v>0</v>
      </c>
      <c r="J57" s="12"/>
      <c r="K57" s="12">
        <f>+SUMPRODUCT((C57=Tabla14[Movimiento])*(Tabla14[$ Constantes]))</f>
        <v>0</v>
      </c>
      <c r="L57" s="15">
        <f>IFERROR(K57/F57,0)</f>
        <v>0</v>
      </c>
      <c r="M57" s="12"/>
      <c r="N57" s="12">
        <f>+SUMPRODUCT((C57=Tabla14[Movimiento])*(Tabla14[U$S Totales]))</f>
        <v>0</v>
      </c>
      <c r="O57" s="15">
        <f>IFERROR(N57/F57,0)</f>
        <v>0</v>
      </c>
    </row>
    <row r="58" spans="1:31" ht="12.75" customHeight="1" x14ac:dyDescent="0.2">
      <c r="C58" s="14" t="s">
        <v>2</v>
      </c>
      <c r="D58" s="14"/>
      <c r="E58" s="14"/>
      <c r="F58" s="13">
        <f>+F54</f>
        <v>750</v>
      </c>
      <c r="G58" s="12"/>
      <c r="H58" s="11">
        <f>+H54+SUM(H55:H57)</f>
        <v>23875000</v>
      </c>
      <c r="I58" s="10">
        <f>+H58/F58</f>
        <v>31833.333333333332</v>
      </c>
      <c r="J58" s="12"/>
      <c r="K58" s="11">
        <f>+K54+SUM(K55:K57)</f>
        <v>30950000</v>
      </c>
      <c r="L58" s="10">
        <f>+K58/F58</f>
        <v>41266.666666666664</v>
      </c>
      <c r="M58" s="12"/>
      <c r="N58" s="11">
        <f>+N54+SUM(N55:N57)</f>
        <v>428811.06011786929</v>
      </c>
      <c r="O58" s="10">
        <f>+N58/F58</f>
        <v>571.74808015715905</v>
      </c>
    </row>
    <row r="59" spans="1:31" ht="12.75" customHeight="1" x14ac:dyDescent="0.2"/>
    <row r="60" spans="1:31" ht="12.75" customHeight="1" x14ac:dyDescent="0.2"/>
    <row r="61" spans="1:31" ht="12.75" x14ac:dyDescent="0.2">
      <c r="A61" s="4"/>
      <c r="B61" s="4"/>
      <c r="C61" s="9" t="s">
        <v>1</v>
      </c>
      <c r="D61" s="4"/>
      <c r="E61" s="8"/>
      <c r="F61" s="5"/>
      <c r="G61" s="7"/>
      <c r="H61" s="4"/>
      <c r="I61" s="5"/>
      <c r="J61" s="4"/>
      <c r="K61" s="7"/>
      <c r="L61" s="5"/>
      <c r="M61" s="4"/>
      <c r="N61" s="4"/>
      <c r="O61" s="6"/>
      <c r="P61" s="4"/>
      <c r="Q61" s="4"/>
      <c r="R61" s="4"/>
      <c r="S61" s="4"/>
      <c r="T61" s="5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ht="12.75" x14ac:dyDescent="0.2">
      <c r="A62" s="4"/>
      <c r="B62" s="4"/>
      <c r="C62" s="9" t="s">
        <v>0</v>
      </c>
      <c r="D62" s="4"/>
      <c r="E62" s="8"/>
      <c r="F62" s="5"/>
      <c r="G62" s="7"/>
      <c r="H62" s="4"/>
      <c r="I62" s="5"/>
      <c r="J62" s="4"/>
      <c r="K62" s="7"/>
      <c r="L62" s="5"/>
      <c r="M62" s="4"/>
      <c r="N62" s="4"/>
      <c r="O62" s="6"/>
      <c r="P62" s="4"/>
      <c r="Q62" s="4"/>
      <c r="R62" s="4"/>
      <c r="S62" s="4"/>
      <c r="T62" s="5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ht="12.75" x14ac:dyDescent="0.2">
      <c r="A63" s="4"/>
      <c r="B63" s="4"/>
      <c r="C63" s="9"/>
      <c r="D63" s="4"/>
      <c r="E63" s="8"/>
      <c r="F63" s="5"/>
      <c r="G63" s="7"/>
      <c r="H63" s="4"/>
      <c r="I63" s="5"/>
      <c r="J63" s="4"/>
      <c r="K63" s="7"/>
      <c r="L63" s="5"/>
      <c r="M63" s="4"/>
      <c r="N63" s="4"/>
      <c r="O63" s="6"/>
      <c r="P63" s="4"/>
      <c r="Q63" s="4"/>
      <c r="R63" s="4"/>
      <c r="S63" s="4"/>
      <c r="T63" s="5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</sheetData>
  <mergeCells count="8">
    <mergeCell ref="H7:I7"/>
    <mergeCell ref="K7:L7"/>
    <mergeCell ref="H39:I39"/>
    <mergeCell ref="K39:L39"/>
    <mergeCell ref="H52:I52"/>
    <mergeCell ref="K52:L52"/>
    <mergeCell ref="H20:I20"/>
    <mergeCell ref="K20:L20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2020-11-02T15:01:28Z</dcterms:created>
  <dcterms:modified xsi:type="dcterms:W3CDTF">2021-02-26T01:19:51Z</dcterms:modified>
</cp:coreProperties>
</file>